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ZilongXiao\Downloads\"/>
    </mc:Choice>
  </mc:AlternateContent>
  <xr:revisionPtr revIDLastSave="0" documentId="8_{2BF537FC-7CB1-47C1-A47C-B40A168FBA16}" xr6:coauthVersionLast="47" xr6:coauthVersionMax="47" xr10:uidLastSave="{00000000-0000-0000-0000-000000000000}"/>
  <bookViews>
    <workbookView xWindow="-103" yWindow="-103" windowWidth="33120" windowHeight="18000" xr2:uid="{00000000-000D-0000-FFFF-FFFF00000000}"/>
  </bookViews>
  <sheets>
    <sheet name="Pipeline" sheetId="2"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6" i="2" l="1"/>
  <c r="N146" i="2"/>
  <c r="M146" i="2"/>
  <c r="L146" i="2"/>
  <c r="O145" i="2"/>
  <c r="N145" i="2"/>
  <c r="M145" i="2"/>
  <c r="L145" i="2"/>
  <c r="O144" i="2"/>
  <c r="N144" i="2"/>
  <c r="M144" i="2"/>
  <c r="L144" i="2"/>
  <c r="O143" i="2"/>
  <c r="N143" i="2"/>
  <c r="M143" i="2"/>
  <c r="L143" i="2"/>
  <c r="O142" i="2"/>
  <c r="N142" i="2"/>
  <c r="M142" i="2"/>
  <c r="L142" i="2"/>
  <c r="O141" i="2"/>
  <c r="N141" i="2"/>
  <c r="M141" i="2"/>
  <c r="L141" i="2"/>
  <c r="O140" i="2"/>
  <c r="N140" i="2"/>
  <c r="M140" i="2"/>
  <c r="L140" i="2"/>
  <c r="O139" i="2"/>
  <c r="N139" i="2"/>
  <c r="M139" i="2"/>
  <c r="L139" i="2"/>
  <c r="O138" i="2"/>
  <c r="N138" i="2"/>
  <c r="M138" i="2"/>
  <c r="L138" i="2"/>
  <c r="O137" i="2"/>
  <c r="N137" i="2"/>
  <c r="M137" i="2"/>
  <c r="L137" i="2"/>
  <c r="O136" i="2"/>
  <c r="N136" i="2"/>
  <c r="M136" i="2"/>
  <c r="L136" i="2"/>
  <c r="O135" i="2"/>
  <c r="N135" i="2"/>
  <c r="M135" i="2"/>
  <c r="L135" i="2"/>
  <c r="O134" i="2"/>
  <c r="N134" i="2"/>
  <c r="M134" i="2"/>
  <c r="L134" i="2"/>
  <c r="O133" i="2"/>
  <c r="N133" i="2"/>
  <c r="M133" i="2"/>
  <c r="L133" i="2"/>
  <c r="O132" i="2"/>
  <c r="N132" i="2"/>
  <c r="M132" i="2"/>
  <c r="L132" i="2"/>
  <c r="O131" i="2"/>
  <c r="N131" i="2"/>
  <c r="M131" i="2"/>
  <c r="L131" i="2"/>
  <c r="O130" i="2"/>
  <c r="N130" i="2"/>
  <c r="M130" i="2"/>
  <c r="L130" i="2"/>
  <c r="O129" i="2"/>
  <c r="J129" i="2" s="1"/>
  <c r="N129" i="2"/>
  <c r="M129" i="2"/>
  <c r="L129" i="2"/>
  <c r="O128" i="2"/>
  <c r="N128" i="2"/>
  <c r="M128" i="2"/>
  <c r="L128" i="2"/>
  <c r="O127" i="2"/>
  <c r="N127" i="2"/>
  <c r="M127" i="2"/>
  <c r="L127" i="2"/>
  <c r="O126" i="2"/>
  <c r="N126" i="2"/>
  <c r="M126" i="2"/>
  <c r="L126" i="2"/>
  <c r="O125" i="2"/>
  <c r="N125" i="2"/>
  <c r="M125" i="2"/>
  <c r="L125" i="2"/>
  <c r="O124" i="2"/>
  <c r="J124" i="2" s="1"/>
  <c r="N124" i="2"/>
  <c r="M124" i="2"/>
  <c r="L124" i="2"/>
  <c r="O123" i="2"/>
  <c r="N123" i="2"/>
  <c r="M123" i="2"/>
  <c r="L123" i="2"/>
  <c r="O122" i="2"/>
  <c r="N122" i="2"/>
  <c r="M122" i="2"/>
  <c r="L122" i="2"/>
  <c r="O121" i="2"/>
  <c r="N121" i="2"/>
  <c r="M121" i="2"/>
  <c r="L121" i="2"/>
  <c r="O120" i="2"/>
  <c r="N120" i="2"/>
  <c r="M120" i="2"/>
  <c r="L120" i="2"/>
  <c r="O119" i="2"/>
  <c r="N119" i="2"/>
  <c r="M119" i="2"/>
  <c r="L119" i="2"/>
  <c r="O118" i="2"/>
  <c r="N118" i="2"/>
  <c r="M118" i="2"/>
  <c r="L118" i="2"/>
  <c r="O117" i="2"/>
  <c r="N117" i="2"/>
  <c r="M117" i="2"/>
  <c r="L117" i="2"/>
  <c r="O116" i="2"/>
  <c r="N116" i="2"/>
  <c r="M116" i="2"/>
  <c r="L116" i="2"/>
  <c r="O115" i="2"/>
  <c r="N115" i="2"/>
  <c r="L115" i="2"/>
  <c r="B115" i="2" s="1"/>
  <c r="O114" i="2"/>
  <c r="N114" i="2"/>
  <c r="L114" i="2"/>
  <c r="B114" i="2" s="1"/>
  <c r="O113" i="2"/>
  <c r="N113" i="2"/>
  <c r="M113" i="2"/>
  <c r="L113" i="2"/>
  <c r="O112" i="2"/>
  <c r="N112" i="2"/>
  <c r="M112" i="2"/>
  <c r="L112" i="2"/>
  <c r="O111" i="2"/>
  <c r="N111" i="2"/>
  <c r="M111" i="2"/>
  <c r="L111" i="2"/>
  <c r="O110" i="2"/>
  <c r="N110" i="2"/>
  <c r="L110" i="2"/>
  <c r="B110" i="2" s="1"/>
  <c r="O109" i="2"/>
  <c r="N109" i="2"/>
  <c r="M109" i="2"/>
  <c r="L109" i="2"/>
  <c r="O108" i="2"/>
  <c r="N108" i="2"/>
  <c r="M108" i="2"/>
  <c r="L108" i="2"/>
  <c r="O107" i="2"/>
  <c r="N107" i="2"/>
  <c r="M107" i="2"/>
  <c r="L107" i="2"/>
  <c r="O106" i="2"/>
  <c r="N106" i="2"/>
  <c r="M106" i="2"/>
  <c r="L106" i="2"/>
  <c r="O105" i="2"/>
  <c r="N105" i="2"/>
  <c r="M105" i="2"/>
  <c r="L105" i="2"/>
  <c r="O104" i="2"/>
  <c r="N104" i="2"/>
  <c r="J104" i="2" s="1"/>
  <c r="M104" i="2"/>
  <c r="L104" i="2"/>
  <c r="O103" i="2"/>
  <c r="N103" i="2"/>
  <c r="L103" i="2"/>
  <c r="B103" i="2" s="1"/>
  <c r="O102" i="2"/>
  <c r="N102" i="2"/>
  <c r="L102" i="2"/>
  <c r="B102" i="2" s="1"/>
  <c r="O101" i="2"/>
  <c r="N101" i="2"/>
  <c r="M101" i="2"/>
  <c r="L101" i="2"/>
  <c r="O97" i="2"/>
  <c r="N97" i="2"/>
  <c r="M97" i="2"/>
  <c r="L97" i="2"/>
  <c r="O96" i="2"/>
  <c r="N96" i="2"/>
  <c r="M96" i="2"/>
  <c r="L96" i="2"/>
  <c r="O95" i="2"/>
  <c r="N95" i="2"/>
  <c r="M95" i="2"/>
  <c r="L95" i="2"/>
  <c r="O94" i="2"/>
  <c r="N94" i="2"/>
  <c r="M94" i="2"/>
  <c r="L94" i="2"/>
  <c r="O93" i="2"/>
  <c r="N93" i="2"/>
  <c r="M93" i="2"/>
  <c r="L93" i="2"/>
  <c r="O92" i="2"/>
  <c r="N92" i="2"/>
  <c r="M92" i="2"/>
  <c r="L92" i="2"/>
  <c r="O91" i="2"/>
  <c r="N91" i="2"/>
  <c r="M91" i="2"/>
  <c r="L91" i="2"/>
  <c r="O90" i="2"/>
  <c r="N90" i="2"/>
  <c r="M90" i="2"/>
  <c r="L90" i="2"/>
  <c r="O89" i="2"/>
  <c r="N89" i="2"/>
  <c r="M89" i="2"/>
  <c r="L89" i="2"/>
  <c r="O88" i="2"/>
  <c r="N88" i="2"/>
  <c r="M88" i="2"/>
  <c r="L88" i="2"/>
  <c r="O87" i="2"/>
  <c r="N87" i="2"/>
  <c r="L87" i="2"/>
  <c r="B87" i="2" s="1"/>
  <c r="O86" i="2"/>
  <c r="N86" i="2"/>
  <c r="M86" i="2"/>
  <c r="L86" i="2"/>
  <c r="O85" i="2"/>
  <c r="N85" i="2"/>
  <c r="M85" i="2"/>
  <c r="L85" i="2"/>
  <c r="O84" i="2"/>
  <c r="N84" i="2"/>
  <c r="M84" i="2"/>
  <c r="L84" i="2"/>
  <c r="O83" i="2"/>
  <c r="N83" i="2"/>
  <c r="L83" i="2"/>
  <c r="B83" i="2" s="1"/>
  <c r="J83" i="2"/>
  <c r="O82" i="2"/>
  <c r="N82" i="2"/>
  <c r="M82" i="2"/>
  <c r="L82" i="2"/>
  <c r="O81" i="2"/>
  <c r="N81" i="2"/>
  <c r="M81" i="2"/>
  <c r="L81" i="2"/>
  <c r="B81" i="2" s="1"/>
  <c r="O80" i="2"/>
  <c r="N80" i="2"/>
  <c r="M80" i="2"/>
  <c r="L80" i="2"/>
  <c r="O79" i="2"/>
  <c r="N79" i="2"/>
  <c r="M79" i="2"/>
  <c r="L79" i="2"/>
  <c r="O78" i="2"/>
  <c r="N78" i="2"/>
  <c r="M78" i="2"/>
  <c r="L78" i="2"/>
  <c r="O77" i="2"/>
  <c r="N77" i="2"/>
  <c r="M77" i="2"/>
  <c r="L77" i="2"/>
  <c r="O76" i="2"/>
  <c r="N76" i="2"/>
  <c r="L76" i="2"/>
  <c r="B76" i="2" s="1"/>
  <c r="O75" i="2"/>
  <c r="N75" i="2"/>
  <c r="L75" i="2"/>
  <c r="B75" i="2" s="1"/>
  <c r="O74" i="2"/>
  <c r="N74" i="2"/>
  <c r="M74" i="2"/>
  <c r="L74" i="2"/>
  <c r="O73" i="2"/>
  <c r="N73" i="2"/>
  <c r="M73" i="2"/>
  <c r="L73" i="2"/>
  <c r="O72" i="2"/>
  <c r="N72" i="2"/>
  <c r="M72" i="2"/>
  <c r="L72" i="2"/>
  <c r="O71" i="2"/>
  <c r="N71" i="2"/>
  <c r="M71" i="2"/>
  <c r="L71" i="2"/>
  <c r="O70" i="2"/>
  <c r="N70" i="2"/>
  <c r="M70" i="2"/>
  <c r="L70" i="2"/>
  <c r="O69" i="2"/>
  <c r="N69" i="2"/>
  <c r="M69" i="2"/>
  <c r="L69" i="2"/>
  <c r="O68" i="2"/>
  <c r="N68" i="2"/>
  <c r="M68" i="2"/>
  <c r="L68" i="2"/>
  <c r="O67" i="2"/>
  <c r="N67" i="2"/>
  <c r="M67" i="2"/>
  <c r="L67" i="2"/>
  <c r="O66" i="2"/>
  <c r="N66" i="2"/>
  <c r="M66" i="2"/>
  <c r="L66" i="2"/>
  <c r="B66" i="2" s="1"/>
  <c r="O65" i="2"/>
  <c r="N65" i="2"/>
  <c r="M65" i="2"/>
  <c r="L65" i="2"/>
  <c r="O64" i="2"/>
  <c r="N64" i="2"/>
  <c r="M64" i="2"/>
  <c r="L64" i="2"/>
  <c r="O63" i="2"/>
  <c r="N63" i="2"/>
  <c r="M63" i="2"/>
  <c r="L63" i="2"/>
  <c r="B63" i="2" s="1"/>
  <c r="O62" i="2"/>
  <c r="N62" i="2"/>
  <c r="L62" i="2"/>
  <c r="B62" i="2" s="1"/>
  <c r="O61" i="2"/>
  <c r="N61" i="2"/>
  <c r="L61" i="2"/>
  <c r="B61" i="2" s="1"/>
  <c r="O60" i="2"/>
  <c r="N60" i="2"/>
  <c r="L60" i="2"/>
  <c r="B60" i="2" s="1"/>
  <c r="O56" i="2"/>
  <c r="N56" i="2"/>
  <c r="M56" i="2"/>
  <c r="L56" i="2"/>
  <c r="O55" i="2"/>
  <c r="N55" i="2"/>
  <c r="M55" i="2"/>
  <c r="L55" i="2"/>
  <c r="O54" i="2"/>
  <c r="N54" i="2"/>
  <c r="M54" i="2"/>
  <c r="L54" i="2"/>
  <c r="O53" i="2"/>
  <c r="N53" i="2"/>
  <c r="M53" i="2"/>
  <c r="L53" i="2"/>
  <c r="O52" i="2"/>
  <c r="N52" i="2"/>
  <c r="L52" i="2"/>
  <c r="B52" i="2" s="1"/>
  <c r="O51" i="2"/>
  <c r="N51" i="2"/>
  <c r="M51" i="2"/>
  <c r="L51" i="2"/>
  <c r="O50" i="2"/>
  <c r="N50" i="2"/>
  <c r="L50" i="2"/>
  <c r="B50" i="2" s="1"/>
  <c r="O49" i="2"/>
  <c r="N49" i="2"/>
  <c r="M49" i="2"/>
  <c r="L49" i="2"/>
  <c r="O48" i="2"/>
  <c r="N48" i="2"/>
  <c r="M48" i="2"/>
  <c r="L48" i="2"/>
  <c r="O47" i="2"/>
  <c r="N47" i="2"/>
  <c r="M47" i="2"/>
  <c r="L47" i="2"/>
  <c r="O46" i="2"/>
  <c r="N46" i="2"/>
  <c r="J46" i="2" s="1"/>
  <c r="M46" i="2"/>
  <c r="L46" i="2"/>
  <c r="O45" i="2"/>
  <c r="N45" i="2"/>
  <c r="L45" i="2"/>
  <c r="B45" i="2" s="1"/>
  <c r="O44" i="2"/>
  <c r="N44" i="2"/>
  <c r="L44" i="2"/>
  <c r="B44" i="2" s="1"/>
  <c r="O43" i="2"/>
  <c r="N43" i="2"/>
  <c r="L43" i="2"/>
  <c r="B43" i="2" s="1"/>
  <c r="O42" i="2"/>
  <c r="N42" i="2"/>
  <c r="M42" i="2"/>
  <c r="L42" i="2"/>
  <c r="O41" i="2"/>
  <c r="N41" i="2"/>
  <c r="M41" i="2"/>
  <c r="L41" i="2"/>
  <c r="O40" i="2"/>
  <c r="N40" i="2"/>
  <c r="M40" i="2"/>
  <c r="L40" i="2"/>
  <c r="O39" i="2"/>
  <c r="N39" i="2"/>
  <c r="M39" i="2"/>
  <c r="L39" i="2"/>
  <c r="O38" i="2"/>
  <c r="N38" i="2"/>
  <c r="M38" i="2"/>
  <c r="L38" i="2"/>
  <c r="O37" i="2"/>
  <c r="N37" i="2"/>
  <c r="M37" i="2"/>
  <c r="L37" i="2"/>
  <c r="O36" i="2"/>
  <c r="N36" i="2"/>
  <c r="M36" i="2"/>
  <c r="L36" i="2"/>
  <c r="O35" i="2"/>
  <c r="N35" i="2"/>
  <c r="L35" i="2"/>
  <c r="B35" i="2" s="1"/>
  <c r="O34" i="2"/>
  <c r="N34" i="2"/>
  <c r="M34" i="2"/>
  <c r="L34" i="2"/>
  <c r="O33" i="2"/>
  <c r="N33" i="2"/>
  <c r="M33" i="2"/>
  <c r="L33" i="2"/>
  <c r="O32" i="2"/>
  <c r="N32" i="2"/>
  <c r="M32" i="2"/>
  <c r="L32" i="2"/>
  <c r="O31" i="2"/>
  <c r="N31" i="2"/>
  <c r="M31" i="2"/>
  <c r="L31" i="2"/>
  <c r="O30" i="2"/>
  <c r="N30" i="2"/>
  <c r="M30" i="2"/>
  <c r="L30" i="2"/>
  <c r="O29" i="2"/>
  <c r="N29" i="2"/>
  <c r="M29" i="2"/>
  <c r="L29" i="2"/>
  <c r="O28" i="2"/>
  <c r="N28" i="2"/>
  <c r="M28" i="2"/>
  <c r="L28" i="2"/>
  <c r="B28" i="2"/>
  <c r="B23" i="2"/>
  <c r="B137" i="2" l="1"/>
  <c r="B142" i="2"/>
  <c r="B40" i="2"/>
  <c r="J69" i="2"/>
  <c r="B74" i="2"/>
  <c r="B89" i="2"/>
  <c r="J56" i="2"/>
  <c r="J88" i="2"/>
  <c r="J123" i="2"/>
  <c r="J89" i="2"/>
  <c r="J28" i="2"/>
  <c r="J50" i="2"/>
  <c r="J42" i="2"/>
  <c r="J49" i="2"/>
  <c r="J71" i="2"/>
  <c r="J146" i="2"/>
  <c r="B49" i="2"/>
  <c r="B113" i="2"/>
  <c r="J29" i="2"/>
  <c r="B56" i="2"/>
  <c r="B65" i="2"/>
  <c r="B95" i="2"/>
  <c r="B134" i="2"/>
  <c r="B139" i="2"/>
  <c r="J52" i="2"/>
  <c r="B71" i="2"/>
  <c r="J31" i="2"/>
  <c r="J86" i="2"/>
  <c r="B86" i="2"/>
  <c r="J96" i="2"/>
  <c r="B77" i="2"/>
  <c r="B36" i="2"/>
  <c r="J60" i="2"/>
  <c r="B93" i="2"/>
  <c r="J127" i="2"/>
  <c r="J44" i="2"/>
  <c r="B29" i="2"/>
  <c r="J34" i="2"/>
  <c r="J94" i="2"/>
  <c r="J107" i="2"/>
  <c r="B138" i="2"/>
  <c r="J74" i="2"/>
  <c r="B80" i="2"/>
  <c r="B90" i="2"/>
  <c r="J118" i="2"/>
  <c r="B144" i="2"/>
  <c r="J40" i="2"/>
  <c r="J90" i="2"/>
  <c r="J108" i="2"/>
  <c r="B124" i="2"/>
  <c r="B46" i="2"/>
  <c r="J134" i="2"/>
  <c r="J144" i="2"/>
  <c r="J41" i="2"/>
  <c r="J47" i="2"/>
  <c r="J61" i="2"/>
  <c r="J66" i="2"/>
  <c r="J109" i="2"/>
  <c r="B130" i="2"/>
  <c r="B82" i="2"/>
  <c r="J115" i="2"/>
  <c r="J140" i="2"/>
  <c r="J145" i="2"/>
  <c r="B48" i="2"/>
  <c r="J92" i="2"/>
  <c r="J97" i="2"/>
  <c r="B131" i="2"/>
  <c r="B136" i="2"/>
  <c r="B33" i="2"/>
  <c r="B38" i="2"/>
  <c r="J48" i="2"/>
  <c r="J54" i="2"/>
  <c r="B73" i="2"/>
  <c r="J78" i="2"/>
  <c r="J30" i="2"/>
  <c r="B55" i="2"/>
  <c r="B68" i="2"/>
  <c r="J72" i="2"/>
  <c r="J82" i="2"/>
  <c r="B92" i="2"/>
  <c r="B108" i="2"/>
  <c r="B116" i="2"/>
  <c r="B126" i="2"/>
  <c r="J136" i="2"/>
  <c r="B31" i="2"/>
  <c r="J63" i="2"/>
  <c r="B41" i="2"/>
  <c r="J55" i="2"/>
  <c r="B88" i="2"/>
  <c r="J116" i="2"/>
  <c r="J121" i="2"/>
  <c r="B129" i="2"/>
  <c r="J36" i="2"/>
  <c r="J73" i="2"/>
  <c r="J103" i="2"/>
  <c r="J111" i="2"/>
  <c r="J139" i="2"/>
  <c r="B32" i="2"/>
  <c r="B42" i="2"/>
  <c r="B47" i="2"/>
  <c r="J64" i="2"/>
  <c r="B79" i="2"/>
  <c r="B84" i="2"/>
  <c r="J93" i="2"/>
  <c r="J119" i="2"/>
  <c r="B132" i="2"/>
  <c r="J142" i="2"/>
  <c r="J32" i="2"/>
  <c r="J79" i="2"/>
  <c r="B109" i="2"/>
  <c r="B127" i="2"/>
  <c r="B145" i="2"/>
  <c r="J117" i="2"/>
  <c r="J33" i="2"/>
  <c r="B107" i="2"/>
  <c r="J38" i="2"/>
  <c r="J85" i="2"/>
  <c r="B143" i="2"/>
  <c r="B39" i="2"/>
  <c r="J53" i="2"/>
  <c r="J95" i="2"/>
  <c r="B133" i="2"/>
  <c r="B54" i="2"/>
  <c r="J81" i="2"/>
  <c r="J110" i="2"/>
  <c r="J133" i="2"/>
  <c r="B30" i="2"/>
  <c r="B72" i="2"/>
  <c r="J70" i="2"/>
  <c r="J84" i="2"/>
  <c r="B91" i="2"/>
  <c r="J102" i="2"/>
  <c r="B105" i="2"/>
  <c r="J112" i="2"/>
  <c r="B122" i="2"/>
  <c r="J45" i="2"/>
  <c r="J65" i="2"/>
  <c r="J91" i="2"/>
  <c r="J105" i="2"/>
  <c r="J122" i="2"/>
  <c r="J132" i="2"/>
  <c r="B37" i="2"/>
  <c r="B67" i="2"/>
  <c r="B97" i="2"/>
  <c r="B120" i="2"/>
  <c r="B125" i="2"/>
  <c r="J37" i="2"/>
  <c r="J67" i="2"/>
  <c r="J120" i="2"/>
  <c r="J125" i="2"/>
  <c r="J130" i="2"/>
  <c r="B135" i="2"/>
  <c r="J137" i="2"/>
  <c r="B118" i="2"/>
  <c r="J62" i="2"/>
  <c r="B69" i="2"/>
  <c r="J76" i="2"/>
  <c r="B78" i="2"/>
  <c r="B106" i="2"/>
  <c r="J113" i="2"/>
  <c r="B123" i="2"/>
  <c r="B128" i="2"/>
  <c r="J135" i="2"/>
  <c r="B140" i="2"/>
  <c r="B34" i="2"/>
  <c r="B64" i="2"/>
  <c r="B85" i="2"/>
  <c r="J106" i="2"/>
  <c r="J128" i="2"/>
  <c r="B51" i="2"/>
  <c r="B101" i="2"/>
  <c r="B111" i="2"/>
  <c r="J51" i="2"/>
  <c r="B94" i="2"/>
  <c r="B96" i="2"/>
  <c r="J101" i="2"/>
  <c r="B121" i="2"/>
  <c r="J43" i="2"/>
  <c r="J80" i="2"/>
  <c r="J87" i="2"/>
  <c r="B104" i="2"/>
  <c r="J126" i="2"/>
  <c r="J131" i="2"/>
  <c r="J138" i="2"/>
  <c r="J143" i="2"/>
  <c r="J35" i="2"/>
  <c r="J39" i="2"/>
  <c r="J114" i="2"/>
  <c r="B119" i="2"/>
  <c r="B141" i="2"/>
  <c r="B146" i="2"/>
  <c r="J68" i="2"/>
  <c r="J77" i="2"/>
  <c r="J141" i="2"/>
  <c r="B53" i="2"/>
  <c r="B70" i="2"/>
  <c r="B112" i="2"/>
  <c r="B117" i="2"/>
</calcChain>
</file>

<file path=xl/sharedStrings.xml><?xml version="1.0" encoding="utf-8"?>
<sst xmlns="http://schemas.openxmlformats.org/spreadsheetml/2006/main" count="652" uniqueCount="361">
  <si>
    <t>w</t>
  </si>
  <si>
    <t>Confirmed Debt Financing</t>
  </si>
  <si>
    <t>Expected Debt Financing</t>
  </si>
  <si>
    <t>Potential Debt Financing</t>
  </si>
  <si>
    <r>
      <rPr>
        <i/>
        <sz val="11"/>
        <color rgb="FF000000"/>
        <rFont val="Roboto"/>
      </rPr>
      <t>9fin's US LevFin Pipeline</t>
    </r>
    <r>
      <rPr>
        <sz val="11"/>
        <color rgb="FF000000"/>
        <rFont val="Roboto"/>
      </rPr>
      <t xml:space="preserve"> tracks upcoming and potential debt syndications, with a focus on expected new-money supply. It’s based on publicly available information, and laid out as three tables:
   ● Confirmed Debt Financing — Deal and accompanying debt financing have been announced
   ● Expected Debt Financing — Deal has been announced, debt financing is expected
   ● Potential Debt Financing — Potential debt-financed deal has been reported
We focus on deals above $1bn in expected enterprise value. Entries are sorted in descending order, with the newest additions at the top. 
If you have opinions on any of these entries, or on how we could make this pipeline more useful, please get in touch:
</t>
    </r>
    <r>
      <rPr>
        <u/>
        <sz val="11"/>
        <color rgb="FF1155CC"/>
        <rFont val="Roboto"/>
      </rPr>
      <t>Zilong Xiao</t>
    </r>
    <r>
      <rPr>
        <sz val="11"/>
        <color rgb="FF000000"/>
        <rFont val="Roboto"/>
      </rPr>
      <t xml:space="preserve"> and </t>
    </r>
    <r>
      <rPr>
        <u/>
        <sz val="11"/>
        <color rgb="FF1155CC"/>
        <rFont val="Roboto"/>
      </rPr>
      <t>William Hoffman</t>
    </r>
  </si>
  <si>
    <t>Company</t>
  </si>
  <si>
    <t>Industry</t>
  </si>
  <si>
    <t>Est. Date</t>
  </si>
  <si>
    <t>EV</t>
  </si>
  <si>
    <t>Purpose</t>
  </si>
  <si>
    <t>Buyer</t>
  </si>
  <si>
    <t>Seller</t>
  </si>
  <si>
    <t>Comment</t>
  </si>
  <si>
    <t>Source</t>
  </si>
  <si>
    <t>Company Name</t>
  </si>
  <si>
    <t>9fin URL</t>
  </si>
  <si>
    <t>Source Name</t>
  </si>
  <si>
    <t>Source URL</t>
  </si>
  <si>
    <t>Diversified Financials</t>
  </si>
  <si>
    <t>M&amp;A</t>
  </si>
  <si>
    <t>Press Release</t>
  </si>
  <si>
    <t>LBO</t>
  </si>
  <si>
    <t>Software &amp; Services</t>
  </si>
  <si>
    <t>$4bn</t>
  </si>
  <si>
    <t>KKR</t>
  </si>
  <si>
    <t>Restaurants</t>
  </si>
  <si>
    <t>Gaming</t>
  </si>
  <si>
    <t>Aerospace / Defense</t>
  </si>
  <si>
    <t>$3bn</t>
  </si>
  <si>
    <t>Media Industry</t>
  </si>
  <si>
    <t>TBD</t>
  </si>
  <si>
    <t>Construction and Engineering</t>
  </si>
  <si>
    <t>Environmental Services and Waste Management Cos.</t>
  </si>
  <si>
    <t>Sale</t>
  </si>
  <si>
    <t>Transportation and Logistics</t>
  </si>
  <si>
    <t>Homebuilding And Property Development</t>
  </si>
  <si>
    <t>Manufacturing</t>
  </si>
  <si>
    <t>Health Care Equipment &amp; Services</t>
  </si>
  <si>
    <t>Brookfield</t>
  </si>
  <si>
    <t>Consumer Durables</t>
  </si>
  <si>
    <t>Telecommunications</t>
  </si>
  <si>
    <t>REITs and Other Commercial Property Firms</t>
  </si>
  <si>
    <t>$1.7bn</t>
  </si>
  <si>
    <t>Food Products</t>
  </si>
  <si>
    <t>Commercial &amp; Professional Services</t>
  </si>
  <si>
    <t>$1.5bn</t>
  </si>
  <si>
    <t>$1.75bn</t>
  </si>
  <si>
    <t>Diversified Technology</t>
  </si>
  <si>
    <t>Energy, Oil &amp; Gas</t>
  </si>
  <si>
    <t>Divestiture</t>
  </si>
  <si>
    <t>Automotive Supplier</t>
  </si>
  <si>
    <t>Carlyle</t>
  </si>
  <si>
    <t>Apparel</t>
  </si>
  <si>
    <t>Consumer Services</t>
  </si>
  <si>
    <t>Retailing</t>
  </si>
  <si>
    <t>$1.3bn</t>
  </si>
  <si>
    <t>$1.8bn</t>
  </si>
  <si>
    <t>Electric Utilities and Power</t>
  </si>
  <si>
    <t>Matador Resources</t>
  </si>
  <si>
    <t>$4.3bn</t>
  </si>
  <si>
    <t>$2bn</t>
  </si>
  <si>
    <t>$15bn</t>
  </si>
  <si>
    <t>$12bn</t>
  </si>
  <si>
    <t>$16.5bn</t>
  </si>
  <si>
    <t>Communications Infrastructure</t>
  </si>
  <si>
    <t>Pharmaceuticals, Biotechnology &amp; Life Sciences</t>
  </si>
  <si>
    <t>Veritas Capital</t>
  </si>
  <si>
    <t>Element Solutions</t>
  </si>
  <si>
    <t>Chemical</t>
  </si>
  <si>
    <t>Authentic Brands</t>
  </si>
  <si>
    <t>Mining</t>
  </si>
  <si>
    <t>$7bn</t>
  </si>
  <si>
    <t>$2.2bn</t>
  </si>
  <si>
    <t>$2.5bn</t>
  </si>
  <si>
    <t>$5bn</t>
  </si>
  <si>
    <t>Brighthouse Financial</t>
  </si>
  <si>
    <t>Energy, Oilfield Services</t>
  </si>
  <si>
    <t>Charter Communications</t>
  </si>
  <si>
    <t>$13bn</t>
  </si>
  <si>
    <t>$9bn</t>
  </si>
  <si>
    <t>BMC Helix</t>
  </si>
  <si>
    <t>$500m</t>
  </si>
  <si>
    <t>New Mountain Capital</t>
  </si>
  <si>
    <t>$750m</t>
  </si>
  <si>
    <t>Nuvei</t>
  </si>
  <si>
    <t>$625m</t>
  </si>
  <si>
    <t>TPG</t>
  </si>
  <si>
    <t>Strategic Value Partners</t>
  </si>
  <si>
    <t>H1 26</t>
  </si>
  <si>
    <t>$4bn-$5bn</t>
  </si>
  <si>
    <t>Arcline</t>
  </si>
  <si>
    <t>Kontoor Brands</t>
  </si>
  <si>
    <t>Ares</t>
  </si>
  <si>
    <t>Grant Thornton</t>
  </si>
  <si>
    <t>CVC</t>
  </si>
  <si>
    <t>Patient Square Capital</t>
  </si>
  <si>
    <t>$34.5bn</t>
  </si>
  <si>
    <t>Cox Communications</t>
  </si>
  <si>
    <t>Charter Communications and Cox Communications announce definitive agreement to combine companies</t>
  </si>
  <si>
    <t>Cvent</t>
  </si>
  <si>
    <t>Red Oak Power</t>
  </si>
  <si>
    <t>Strategic Value Partners announces acquisition of Red Oak Power</t>
  </si>
  <si>
    <t>Warburg Pincus</t>
  </si>
  <si>
    <t>Talen Energy</t>
  </si>
  <si>
    <t>PE firm GTCR is in talks to acquire prepaid card company Blackhawk</t>
  </si>
  <si>
    <t>Apollo Global to buy builder of large-scale US data centers</t>
  </si>
  <si>
    <t>C$900m</t>
  </si>
  <si>
    <t>BMO's transportation finance business</t>
  </si>
  <si>
    <t>BMO announces strategic sale of transportation and vendor finance businesses</t>
  </si>
  <si>
    <t>Francisco Partners explores sale of cyber firm BeyondTrust</t>
  </si>
  <si>
    <t>H2 26</t>
  </si>
  <si>
    <t>Global Infrastructure Partners</t>
  </si>
  <si>
    <t>Eni CCUS</t>
  </si>
  <si>
    <t>Global Infrastructure Partners enters into an agreement to acquire a 49.99% co-controlling stake in Eni CCUS Holding</t>
  </si>
  <si>
    <t>$1.05bn</t>
  </si>
  <si>
    <t>Bain Capital waits on more bidders in $1.4bn Canada Goose sale</t>
  </si>
  <si>
    <t>Altera Infrastructure's FPSO business</t>
  </si>
  <si>
    <t>Carlyle to acquire Altera Infrastructure Group’s FPSO business</t>
  </si>
  <si>
    <t>Kohlberg and Warburg Pincus are among several sponsors that have expressed interest in acquiring Cambrex</t>
  </si>
  <si>
    <t>Pave America</t>
  </si>
  <si>
    <t>AEA, BCI</t>
  </si>
  <si>
    <t>AEA Investors and BCI acquire Pave America</t>
  </si>
  <si>
    <t>Park Place</t>
  </si>
  <si>
    <t>Warburg Pincus, Temasek</t>
  </si>
  <si>
    <t>Warburg Pincus, together with a significant minority investment by Temasek, has signed a definitive agreement to make a majority investment in Park Place Technologies</t>
  </si>
  <si>
    <t>Paramount Skydance</t>
  </si>
  <si>
    <t>Q3 26</t>
  </si>
  <si>
    <t>$110bn</t>
  </si>
  <si>
    <t>WBD</t>
  </si>
  <si>
    <t>Paramount Skydance to acquire Warner Bros. Discovery for $110bn. The transaction is backed by $54bn of debt commitments from Bank of America, Citigroup, and Apollo</t>
  </si>
  <si>
    <t>Q1 27</t>
  </si>
  <si>
    <t>Qualtrics</t>
  </si>
  <si>
    <t>$6.75bn</t>
  </si>
  <si>
    <t>Press Ganey Forsta</t>
  </si>
  <si>
    <t>JP Morgan preps $5bn debt package for Qualtrics software M&amp;A</t>
  </si>
  <si>
    <t>Terex to exit its Aerials segment, including the assessment of a potential sale or spin-off</t>
  </si>
  <si>
    <t>Diamondback unit Viper weigh sale of oil assets outside the Permian</t>
  </si>
  <si>
    <t>Thoreau Group nears $12bn acquisition of Ensemble Health Partners</t>
  </si>
  <si>
    <t>$620m</t>
  </si>
  <si>
    <t>$510m</t>
  </si>
  <si>
    <t>Priority Technology Holdings confirms receipt of preliminary, non-binding take private proposal</t>
  </si>
  <si>
    <t>Novaria Group</t>
  </si>
  <si>
    <t>Arcline Investment Management to acquire Novaria Group</t>
  </si>
  <si>
    <t>Aquarian</t>
  </si>
  <si>
    <t>$4.1bn</t>
  </si>
  <si>
    <t>Aquarian Capital to acquire Brighthouse Financial</t>
  </si>
  <si>
    <t>Ex-Dye &amp; Durham CEO’s firm said to offer 111% premium to buy the company</t>
  </si>
  <si>
    <t>TransDigm Group</t>
  </si>
  <si>
    <t>Q2 26</t>
  </si>
  <si>
    <t>Apollo weighs potential $12bn sale of Atlas Air</t>
  </si>
  <si>
    <t>Thoma Bravo mandates banks for Imprivata exit</t>
  </si>
  <si>
    <t>Audax looks to offload BlueCat Networks for $1.5bn</t>
  </si>
  <si>
    <t>$400m</t>
  </si>
  <si>
    <t>ON24</t>
  </si>
  <si>
    <t>ON24 enters into definitive agreement to be acquired by Cvent</t>
  </si>
  <si>
    <t>Sparklight (Cable One)</t>
  </si>
  <si>
    <t>Q4 26</t>
  </si>
  <si>
    <t>Mega Broadband</t>
  </si>
  <si>
    <t>Cable One pitches pricy bond to close Mega buyout, extend nearing maturities</t>
  </si>
  <si>
    <t>IonQ</t>
  </si>
  <si>
    <t>SkyWater Technology</t>
  </si>
  <si>
    <t>IonQ to acquire SkyWater Technology</t>
  </si>
  <si>
    <t>$3.45bn</t>
  </si>
  <si>
    <t>Waterford, Energy Capital Partners</t>
  </si>
  <si>
    <t>Talen Energy acquires PJM natural gas assets from Energy Capital Partners. Talen expects to issue new debt to fund the cash portion of the purchase price</t>
  </si>
  <si>
    <t>H&amp;F explores $9bn-plus sale of medical device maker Cordis</t>
  </si>
  <si>
    <t>Enhabit</t>
  </si>
  <si>
    <t>Kinderhook Industries</t>
  </si>
  <si>
    <t>Enhabit to be acquired by Kinderhook Industries for $1.1bn. Kinderhook has secured committed financing for the transaction, with a debt financing commitment letter from certain lenders</t>
  </si>
  <si>
    <t>Brink's</t>
  </si>
  <si>
    <t>$6.6bn</t>
  </si>
  <si>
    <t>NCR Atleos</t>
  </si>
  <si>
    <t>Brink’s to acquire NCR Atleos for $6.6bn. Brink’s has obtained $4.5bn in committed bridge financing from Morgan Stanley</t>
  </si>
  <si>
    <t>Paradigm</t>
  </si>
  <si>
    <t>Paradigm signs definitive agreement to be acquired by Patient Square Capital</t>
  </si>
  <si>
    <t>Saltchuk Resources</t>
  </si>
  <si>
    <t>Great Lakes Dredge and Dock</t>
  </si>
  <si>
    <t>Great Lakes Dredge and Dock to be acquired by Saltchuk Resources. The transaction is supported by fully committed financing from Bank of America, Wells Fargo, US Bank, and PNC</t>
  </si>
  <si>
    <t>Mack-Cali Realty</t>
  </si>
  <si>
    <t>$3.4bn</t>
  </si>
  <si>
    <t>Affinius Capital, Vista Hill Partners</t>
  </si>
  <si>
    <t>Veris Residential to be acquired by Affinius Capital-Led investor consortium for $3.4bn in cash. The transaction is supported by a $2.08bn committed senior secured bridge loan facility</t>
  </si>
  <si>
    <t>Momentum Midstream explores sale that could fetch $5bn</t>
  </si>
  <si>
    <t>Sabre Industries</t>
  </si>
  <si>
    <t>TPG to acquire majority stake in Sabre Industries from Blackstone Energy Transition Partners</t>
  </si>
  <si>
    <t>$7.2bn</t>
  </si>
  <si>
    <t>Kinetik Holdings is considering a sale after an approach from Western Midstream Partners</t>
  </si>
  <si>
    <t>Bain Capital explores sale or IPO of Dessert Holdings</t>
  </si>
  <si>
    <t>Fertitta Entertainment</t>
  </si>
  <si>
    <t>$17.6bn</t>
  </si>
  <si>
    <t>Caesars Entertainment</t>
  </si>
  <si>
    <t>MS and GS lead new debt for Fertitta and Caesars tie-up</t>
  </si>
  <si>
    <t>H1 27</t>
  </si>
  <si>
    <t>Peak Utility Services</t>
  </si>
  <si>
    <t>Greenbelt Capital Management</t>
  </si>
  <si>
    <t>Greenbelt Capital Partners agrees to acquire Peak Utility Services Group from ORIX Capital Partners</t>
  </si>
  <si>
    <t>$470.5m</t>
  </si>
  <si>
    <t>Eagle Bulk</t>
  </si>
  <si>
    <t>Diana Shipping</t>
  </si>
  <si>
    <t>Star Bulk to acquire 16 vessels from Diana Shippin conditional upon the success of its offer to acquire Genco Shipping &amp; Trading. The Company intends to fund the purchase price with a combination of existing cash resources, reserved from previous vessel sales, as well as new debt financing</t>
  </si>
  <si>
    <t>Warburg eyes $2.5bn-plus sale of auto lender Exeter</t>
  </si>
  <si>
    <t>JetBlue is exploring a sale</t>
  </si>
  <si>
    <t>Boralex</t>
  </si>
  <si>
    <t>Boralex enters into definitive agreement to be acquired by Brookfield</t>
  </si>
  <si>
    <t>$22bn</t>
  </si>
  <si>
    <t>Tower operator SBA Communications is exploring a potential sale</t>
  </si>
  <si>
    <t>The Real Brokerage</t>
  </si>
  <si>
    <t>$880m</t>
  </si>
  <si>
    <t>REMAX</t>
  </si>
  <si>
    <t>Real to acquire REMAX. Real has secured a $550m financing commitment arranged by Morgan Stanley and Apollo</t>
  </si>
  <si>
    <t>Whitestone REIT</t>
  </si>
  <si>
    <t>Whitestone REIT to be acquired by Ares for $1.7bn. Citigroup Global Markets is acting as lead financial advisor and financing provider to Ares</t>
  </si>
  <si>
    <t>$282m</t>
  </si>
  <si>
    <t>Grant Thornton Australia</t>
  </si>
  <si>
    <t>Grant Thornton US to acquire Grant Thornton Australia</t>
  </si>
  <si>
    <t>Alcoholic Beverage</t>
  </si>
  <si>
    <t>Sazerac bids $15bn for Jack Daniel's maker Brown-Forman</t>
  </si>
  <si>
    <t>GCI Liberty</t>
  </si>
  <si>
    <t>$310m</t>
  </si>
  <si>
    <t>Quintillion</t>
  </si>
  <si>
    <t>GCI to acquire Quintillion</t>
  </si>
  <si>
    <t>Honeywell is said to near sale of warehouse services unit to AIP</t>
  </si>
  <si>
    <t>Brady Corp</t>
  </si>
  <si>
    <t>Honeywell's productivity solutions and service business</t>
  </si>
  <si>
    <t>Banks to join BMO-led $1.8bn debt deal for Honeywell spinoff. BMO will syndicate a $1bn term loan to other Wall Street lenders</t>
  </si>
  <si>
    <t>$5.5bn</t>
  </si>
  <si>
    <t>CVC, GTCR weigh take-private of medical equipment provider Teleflex</t>
  </si>
  <si>
    <t>Dream Finders Homes proposes to acquire Beazer Homes</t>
  </si>
  <si>
    <t>EyeCare Partners weighs sale of optometry business</t>
  </si>
  <si>
    <t>IFF</t>
  </si>
  <si>
    <t>International Flavors &amp; Fragrances to sell its food ingredients business to CVC</t>
  </si>
  <si>
    <t>Lattice Semiconductor</t>
  </si>
  <si>
    <t>$1.65bn</t>
  </si>
  <si>
    <t>AMI</t>
  </si>
  <si>
    <t>Lattice to acquire AMI. Wells Fargo has committed to provide a senior secured 364-day term loan facility of up to $950m and a revolving credit facility of up to $200m</t>
  </si>
  <si>
    <t>Arclight GCX</t>
  </si>
  <si>
    <t>DigitalBridge Group</t>
  </si>
  <si>
    <t>DigitalBridge and ArcLight announce strategic combination</t>
  </si>
  <si>
    <t>Knack RCM</t>
  </si>
  <si>
    <t>EqualizeRCM Services</t>
  </si>
  <si>
    <t>Carlyle, Knack RCM seeks loan for EqualizeRCM buy. Barclays, DBS Bank, and HSBC are the mandated lead arrangers, bookrunners and underwriters of the $72m incremental term loan</t>
  </si>
  <si>
    <t>Lantheus explores potential $7bn sale following offer from Curium</t>
  </si>
  <si>
    <t>People Inc (formerly IAC) proposes to acquire MGM Resorts International</t>
  </si>
  <si>
    <t>Rocket Lab</t>
  </si>
  <si>
    <t>Mid 2027</t>
  </si>
  <si>
    <t>$8.0bn</t>
  </si>
  <si>
    <t>Iridium Communications</t>
  </si>
  <si>
    <t>Rocket lab to acquire Iridium. Rocket Lab has received commitments for a $3.6bn 364-day senior secured bridge term loan facility from Deutsche Bank and Wells Fargo. Rocket Lab intends to fund the cash component of the transaction through a combination of cash from its balance sheet and other debt and equity financing sources</t>
  </si>
  <si>
    <t>LongRange Capital</t>
  </si>
  <si>
    <t>Yum! Brands</t>
  </si>
  <si>
    <t>Yum! Brands enters into agreements to sell Pizza Hut</t>
  </si>
  <si>
    <t>$2.75bn</t>
  </si>
  <si>
    <t>Payoneer</t>
  </si>
  <si>
    <t>BMO to lead financing for Payoneer take-private. The debt package is expected to come in at around $2.25bn split between high yield bonds and loan offerings and will likely begin marketing after Labor Day. RBC, Barclays, UBS and Wells Fargo are also providing committed financing for the buyout</t>
  </si>
  <si>
    <t>Trinity Consultants</t>
  </si>
  <si>
    <t>Oak Hill puts Trinity Consultants up for sale</t>
  </si>
  <si>
    <t>H.B. Fuller</t>
  </si>
  <si>
    <t>£715m</t>
  </si>
  <si>
    <t>Advanced Medical Solutions Group</t>
  </si>
  <si>
    <t>H.B. Fuller announces offer to acquire Advanced Medical Solutions. The transaction will be fully financed through 100% committed financing</t>
  </si>
  <si>
    <t>Republic Finance</t>
  </si>
  <si>
    <t>J.C. Flowers</t>
  </si>
  <si>
    <t>Republic Finance agrees to be acquired by a J.C. Flowers-led investor group</t>
  </si>
  <si>
    <t>$752m</t>
  </si>
  <si>
    <t>Cardinal Midstream Partners</t>
  </si>
  <si>
    <t>Matador Resources Company announces acquisition of Cardinal Midstream. The company expects to finance the acquisition, in part, through a new term loan of up to $650m under its existing credit facility. This new term loan will be PNC Bank and Truist Bank</t>
  </si>
  <si>
    <t>Kontoor Brands enters into definitive agreement to sell Lee® Business to Authentic Brands Group</t>
  </si>
  <si>
    <t>FirstCash</t>
  </si>
  <si>
    <t>$273m</t>
  </si>
  <si>
    <t>Ramsdens Holdings</t>
  </si>
  <si>
    <t>FirstCash to acquire Ramsdens</t>
  </si>
  <si>
    <t>MDA Space</t>
  </si>
  <si>
    <t>Blue Canyon Technologies</t>
  </si>
  <si>
    <t>MDA Space announces definitive agreement to acquire US-based Blue Canyon Technologies. The transaction is fully committed and financed at signing through senior secured debt</t>
  </si>
  <si>
    <t>Deluxe Corporation</t>
  </si>
  <si>
    <t>Celero Commerce</t>
  </si>
  <si>
    <t>Deluxe to acquire Celero Commerce. The transaction will be funded through committed debt financing, consisting of an incremental Term Loan A financing of $375m from a five-bank syndicate led by BofA and drawing on Deluxe’s existing revolving credit facility</t>
  </si>
  <si>
    <t>Montagu</t>
  </si>
  <si>
    <t>Montagu to acquire majority stake in BMC Helix in a carve-out transaction from KKR-owned BMC Software</t>
  </si>
  <si>
    <t>ECHO Realty</t>
  </si>
  <si>
    <t>TPG-Led investor group acquires grocery-anchored retail leader ECHO Realty</t>
  </si>
  <si>
    <t>Asset Living</t>
  </si>
  <si>
    <t>New Mountain Capital to acquire Asset Living</t>
  </si>
  <si>
    <t>TPG, Leonard Green explore Ssle of McIlroy-backed Troon Golf</t>
  </si>
  <si>
    <t>Bumble dating app explores sale</t>
  </si>
  <si>
    <t>Ares-backed medical spa chain LaserAway explores sale</t>
  </si>
  <si>
    <t>$4.7bn</t>
  </si>
  <si>
    <t>LS Power said to near deal for EDF’s American renewables arm</t>
  </si>
  <si>
    <t>Jana builds bigger stake in Fintech Alkami, pushes for sale</t>
  </si>
  <si>
    <t>Schick Razor maker is said to reject unsolicited takeover offer</t>
  </si>
  <si>
    <t>CBIZ</t>
  </si>
  <si>
    <t>Grant Thornton Advisors to acquire CBIZ for $5bn in transaction supported by New Mountain Capital</t>
  </si>
  <si>
    <t>Alcoa</t>
  </si>
  <si>
    <t>South32</t>
  </si>
  <si>
    <t>Aloca to acquire South32's bausite, alumina, and aluminum assets. Alcoa has secured fully committed financing for the transaction in the form of an initial $3.1bn bridge commitment from Goldman Sachs, which it plans to replace with cash from the balance sheet and permanent debt financing prior to transaction close</t>
  </si>
  <si>
    <t>Solstice Advanced Materials</t>
  </si>
  <si>
    <t>$14.5bn</t>
  </si>
  <si>
    <t>Solstice Advanced Materials to Acquire Element Solutions. Solstice has secured fully committed financing for the transaction in the form of an initial $4.7bn bridge commitment from Goldman Sachs, which it plans to replace with permanent debt financing</t>
  </si>
  <si>
    <t>PANTHERx Rare</t>
  </si>
  <si>
    <t>JPM, Goldman prep financing for Warburg LBO of PANTHERx Rare. Leverage on the total debt facility would be roughly 7x</t>
  </si>
  <si>
    <t>BGIS</t>
  </si>
  <si>
    <t>Citi to lead financing for Veritas’ BGIS buyout. The funding is expected to consist of a $1.5bn term loan B as well as a delayed draw term loan</t>
  </si>
  <si>
    <t>Avantus Aerospace</t>
  </si>
  <si>
    <t>Arcline Investment Management</t>
  </si>
  <si>
    <t>Arcline Investment Management to acquire Avantus</t>
  </si>
  <si>
    <t>Versant Media</t>
  </si>
  <si>
    <t>$530m</t>
  </si>
  <si>
    <t>Full Swing</t>
  </si>
  <si>
    <t>Versant announces agreement to acquire Full Swing</t>
  </si>
  <si>
    <t>$1.066bn</t>
  </si>
  <si>
    <t>Prince &amp; Izant</t>
  </si>
  <si>
    <t>TransDigm announces acquisition of Prince &amp; Izant</t>
  </si>
  <si>
    <t>Russell Investments</t>
  </si>
  <si>
    <t>$2.8bn</t>
  </si>
  <si>
    <t>B Capital</t>
  </si>
  <si>
    <t>B Capital-led group buys Russell Investments</t>
  </si>
  <si>
    <t>Mavis Tire</t>
  </si>
  <si>
    <t>$700m</t>
  </si>
  <si>
    <t>Icahn Enterprises</t>
  </si>
  <si>
    <t>Mavis to acquire Pep Boys from Icahn Enterprises</t>
  </si>
  <si>
    <t>Central Garden &amp; Pet</t>
  </si>
  <si>
    <t>TRIXIE</t>
  </si>
  <si>
    <t>Central Garden &amp; Pet to acquire a majority interest in TRIXIE Heimtierbedarf GmbH &amp; Co. KG</t>
  </si>
  <si>
    <t>$3.86bn</t>
  </si>
  <si>
    <t>Lionsgate Studios said to explore sale amid M&amp;A Wave</t>
  </si>
  <si>
    <t>Francisco nears $1.3bn deal for Thoma Bravo-backed construction software maker Command Alkon</t>
  </si>
  <si>
    <t>Northlane sale of SAI MedPartners enters final stages</t>
  </si>
  <si>
    <t>Peak Rock to test buyout market for private-label food company Berner</t>
  </si>
  <si>
    <t>Brown-Forman rejects Sazerac’s renewed $15bn offer</t>
  </si>
  <si>
    <t>Food ingredients producer Lyons Magnus explores sale</t>
  </si>
  <si>
    <t>$21.7bn</t>
  </si>
  <si>
    <t>GFL Environmental weighs take-private amid interest from buyout firms</t>
  </si>
  <si>
    <t>TPG-backed Salsify explores sale</t>
  </si>
  <si>
    <t>PC to BSL</t>
  </si>
  <si>
    <t>Baker Tilly eyes $3bn in debt to replace private credit</t>
  </si>
  <si>
    <t>Private markets data firm Gain seeks $500m valuation sale</t>
  </si>
  <si>
    <t>Copeland</t>
  </si>
  <si>
    <t>Dickson</t>
  </si>
  <si>
    <t>Copeland enters into exclusive negotiations to acquire Dickson</t>
  </si>
  <si>
    <t>TPG Is said in talks to buy Netrality Data Centers for up to $3bn</t>
  </si>
  <si>
    <t>Aypa Power</t>
  </si>
  <si>
    <t>Brookfield to acquire Aypa Power from Blackstone Energy Transition Partners</t>
  </si>
  <si>
    <t>Saltair</t>
  </si>
  <si>
    <t>TSG Consumer</t>
  </si>
  <si>
    <t>TSG consumer to acquire majority stake in Saltair</t>
  </si>
  <si>
    <t>Group 1 Automotive</t>
  </si>
  <si>
    <t>Hennessy Automobile</t>
  </si>
  <si>
    <t>Group 1 agrees to acquire Hennessy Automobile Dealerships. Group 1 plans to finance the transaction with new debt, backstopped by a bridge commitment</t>
  </si>
  <si>
    <t>Ares Management has held talks to buy Leonard Green &amp; Partners</t>
  </si>
  <si>
    <t>DarkVision</t>
  </si>
  <si>
    <t>Blackstone Energy Transition Partners</t>
  </si>
  <si>
    <t>Blackstone Energy Transition Partners announces agreement to acquire DarkVision from Koch Engineered Solutions</t>
  </si>
  <si>
    <t>CrossCountry</t>
  </si>
  <si>
    <t>Two Harbors Invest Corp</t>
  </si>
  <si>
    <t>CrossCountry Mortgage debt for Two Harbors buyout expected to launch next week. The lender initially entered into the merger agreement with a $2bn secured financing commitment. It later obtained an additional $1.4bn unsecured commitment from Citi, bringing its total committed financing to $3.4bn</t>
  </si>
  <si>
    <t>Fullscript explores sale process</t>
  </si>
  <si>
    <t>Integer Holdings</t>
  </si>
  <si>
    <t>$5.7bn</t>
  </si>
  <si>
    <t xml:space="preserve">Integer to be acquired by KKR. KKR will finance the transaction through a combination of equity and committed debt financing. Citi, KKR Capital Markets, Barclays, UBS and Jefferies will act as lead arrangers for the debt financing </t>
  </si>
  <si>
    <t>Veritas Capital to acquire Trinity Consultants</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</si>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</sst>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sz val="10"/>
      <color theme="1"/>
      <name val="Arial"/>
      <scheme val="minor"/>
    </font>
    <font>
      <sz val="9"/>
      <color rgb="FF000000"/>
      <name val="&quot;Google Sans Mono&quot;"/>
    </font>
    <font>
      <b/>
      <sz val="11"/>
      <color rgb="FFFFFFFF"/>
      <name val="Roboto"/>
    </font>
    <font>
      <sz val="10"/>
      <color rgb="FFF5F7F9"/>
      <name val="Arial"/>
      <scheme val="minor"/>
    </font>
    <font>
      <b/>
      <sz val="14"/>
      <color rgb="FFFFFFFF"/>
      <name val="Roboto"/>
    </font>
    <font>
      <b/>
      <sz val="40"/>
      <color rgb="FFFFFFFF"/>
      <name val="Roboto"/>
    </font>
    <font>
      <u/>
      <sz val="11"/>
      <color rgb="FF000000"/>
      <name val="Roboto"/>
    </font>
    <font>
      <u/>
      <sz val="11"/>
      <color rgb="FF0000FF"/>
      <name val="Roboto"/>
    </font>
    <font>
      <sz val="11"/>
      <color rgb="FF000000"/>
      <name val="Roboto"/>
    </font>
    <font>
      <sz val="11"/>
      <color theme="1"/>
      <name val="Roboto"/>
    </font>
    <font>
      <u/>
      <sz val="11"/>
      <color rgb="FF0000FF"/>
      <name val="Roboto"/>
    </font>
    <font>
      <u/>
      <sz val="11"/>
      <color rgb="FF000000"/>
      <name val="Roboto"/>
    </font>
    <font>
      <i/>
      <sz val="10"/>
      <color rgb="FF434343"/>
      <name val="Roboto"/>
    </font>
    <font>
      <i/>
      <u/>
      <sz val="10"/>
      <color rgb="FF434343"/>
      <name val="Roboto"/>
    </font>
    <font>
      <u/>
      <sz val="10"/>
      <color rgb="FF0000FF"/>
      <name val="Arial"/>
    </font>
    <font>
      <i/>
      <sz val="11"/>
      <color rgb="FF000000"/>
      <name val="Roboto"/>
    </font>
    <font>
      <u/>
      <sz val="11"/>
      <color rgb="FF1155CC"/>
      <name val="Roboto"/>
    </font>
  </fonts>
  <fills count="6">
    <fill>
      <patternFill patternType="none"/>
    </fill>
    <fill>
      <patternFill patternType="gray125"/>
    </fill>
    <fill>
      <patternFill patternType="solid">
        <fgColor rgb="FFFFFFFF"/>
        <bgColor rgb="FFFFFFFF"/>
      </patternFill>
    </fill>
    <fill>
      <patternFill patternType="solid">
        <fgColor rgb="FF111827"/>
        <bgColor rgb="FF111827"/>
      </patternFill>
    </fill>
    <fill>
      <patternFill patternType="solid">
        <fgColor rgb="FF063065"/>
        <bgColor rgb="FF063065"/>
      </patternFill>
    </fill>
    <fill>
      <patternFill patternType="solid">
        <fgColor rgb="FFF5F7F9"/>
        <bgColor rgb="FFF5F7F9"/>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s>
  <cellStyleXfs count="1">
    <xf numFmtId="0" fontId="0" fillId="0" borderId="0"/>
  </cellStyleXfs>
  <cellXfs count="33">
    <xf numFmtId="0" fontId="0" fillId="0" borderId="0" xfId="0"/>
    <xf numFmtId="0" fontId="1" fillId="2" borderId="0" xfId="0" applyFont="1" applyFill="1"/>
    <xf numFmtId="0" fontId="2" fillId="2" borderId="0" xfId="0" applyFont="1" applyFill="1" applyAlignment="1">
      <alignment horizontal="left"/>
    </xf>
    <xf numFmtId="0" fontId="4" fillId="2" borderId="0" xfId="0" applyFont="1" applyFill="1" applyAlignment="1">
      <alignment horizontal="center"/>
    </xf>
    <xf numFmtId="0" fontId="5" fillId="2" borderId="0" xfId="0" applyFont="1" applyFill="1" applyAlignment="1">
      <alignment horizontal="left"/>
    </xf>
    <xf numFmtId="0" fontId="2" fillId="3" borderId="0" xfId="0" applyFont="1" applyFill="1" applyAlignment="1">
      <alignment horizontal="left"/>
    </xf>
    <xf numFmtId="0" fontId="4" fillId="3" borderId="0" xfId="0" applyFont="1" applyFill="1" applyAlignment="1">
      <alignment horizontal="center"/>
    </xf>
    <xf numFmtId="0" fontId="1" fillId="3" borderId="0" xfId="0" applyFont="1" applyFill="1"/>
    <xf numFmtId="0" fontId="1" fillId="2" borderId="1" xfId="0" applyFont="1" applyFill="1" applyBorder="1"/>
    <xf numFmtId="0" fontId="5" fillId="2" borderId="0" xfId="0" applyFont="1" applyFill="1" applyAlignment="1">
      <alignment horizontal="left" wrapText="1"/>
    </xf>
    <xf numFmtId="0" fontId="5" fillId="4" borderId="0" xfId="0" applyFont="1" applyFill="1" applyAlignment="1">
      <alignment horizontal="left"/>
    </xf>
    <xf numFmtId="0" fontId="5" fillId="4" borderId="0" xfId="0" applyFont="1" applyFill="1" applyAlignment="1">
      <alignment horizontal="left" wrapText="1"/>
    </xf>
    <xf numFmtId="0" fontId="3" fillId="4" borderId="0" xfId="0" applyFont="1" applyFill="1" applyAlignment="1">
      <alignment horizontal="left" vertical="top"/>
    </xf>
    <xf numFmtId="0" fontId="3" fillId="4" borderId="0" xfId="0" applyFont="1" applyFill="1" applyAlignment="1">
      <alignment horizontal="left" vertical="top" wrapText="1"/>
    </xf>
    <xf numFmtId="0" fontId="8" fillId="5" borderId="0" xfId="0" applyFont="1" applyFill="1" applyAlignment="1">
      <alignment vertical="center" wrapText="1"/>
    </xf>
    <xf numFmtId="0" fontId="9" fillId="5" borderId="0" xfId="0" applyFont="1" applyFill="1" applyAlignment="1">
      <alignment horizontal="left" vertical="center" wrapText="1"/>
    </xf>
    <xf numFmtId="0" fontId="10" fillId="5" borderId="0" xfId="0" applyFont="1" applyFill="1" applyAlignment="1">
      <alignment vertical="center"/>
    </xf>
    <xf numFmtId="0" fontId="11" fillId="5" borderId="0" xfId="0" applyFont="1" applyFill="1" applyAlignment="1">
      <alignment vertical="center"/>
    </xf>
    <xf numFmtId="0" fontId="10" fillId="5" borderId="0" xfId="0" applyFont="1" applyFill="1" applyAlignment="1">
      <alignment vertical="center" wrapText="1"/>
    </xf>
    <xf numFmtId="0" fontId="1" fillId="2" borderId="2" xfId="0" applyFont="1" applyFill="1" applyBorder="1"/>
    <xf numFmtId="0" fontId="9" fillId="2" borderId="0" xfId="0" applyFont="1" applyFill="1" applyAlignment="1">
      <alignment horizontal="left"/>
    </xf>
    <xf numFmtId="0" fontId="12" fillId="2" borderId="0" xfId="0" applyFont="1" applyFill="1" applyAlignment="1">
      <alignment horizontal="left"/>
    </xf>
    <xf numFmtId="0" fontId="1" fillId="0" borderId="0" xfId="0" applyFont="1"/>
    <xf numFmtId="0" fontId="9" fillId="2" borderId="0" xfId="0" applyFont="1" applyFill="1" applyAlignment="1">
      <alignment horizontal="left" wrapText="1"/>
    </xf>
    <xf numFmtId="0" fontId="3" fillId="4" borderId="0" xfId="0" applyFont="1" applyFill="1" applyAlignment="1">
      <alignment horizontal="left"/>
    </xf>
    <xf numFmtId="0" fontId="3" fillId="4" borderId="0" xfId="0" applyFont="1" applyFill="1" applyAlignment="1">
      <alignment horizontal="left" wrapText="1"/>
    </xf>
    <xf numFmtId="0" fontId="13" fillId="2" borderId="0" xfId="0" applyFont="1" applyFill="1" applyAlignment="1">
      <alignment horizontal="left"/>
    </xf>
    <xf numFmtId="0" fontId="14" fillId="2" borderId="0" xfId="0" applyFont="1" applyFill="1" applyAlignment="1">
      <alignment horizontal="left"/>
    </xf>
    <xf numFmtId="0" fontId="9" fillId="5" borderId="0" xfId="0" applyFont="1" applyFill="1" applyAlignment="1">
      <alignment horizontal="left" vertical="center"/>
    </xf>
    <xf numFmtId="0" fontId="15" fillId="0" borderId="0" xfId="0" applyFont="1"/>
    <xf numFmtId="0" fontId="0" fillId="0" borderId="0" xfId="0"/>
    <xf numFmtId="0" fontId="6" fillId="4" borderId="0" xfId="0" applyFont="1" applyFill="1" applyAlignment="1">
      <alignment horizontal="left" vertical="center"/>
    </xf>
    <xf numFmtId="0" fontId="7" fillId="5" borderId="0" xfId="0" applyFont="1" applyFill="1" applyAlignment="1">
      <alignment horizontal="left" vertical="center" wrapText="1"/>
    </xf>
  </cellXfs>
  <cellStyles count="1">
    <cellStyle name="Normal" xfId="0" builtinId="0"/>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95250</xdr:colOff>
      <xdr:row>22</xdr:row>
      <xdr:rowOff>76200</xdr:rowOff>
    </xdr:from>
    <xdr:ext cx="800100" cy="390525"/>
    <xdr:grpSp>
      <xdr:nvGrpSpPr>
        <xdr:cNvPr id="2" name="Shape 2" title="Drawing">
          <a:extLst>
            <a:ext uri="{FF2B5EF4-FFF2-40B4-BE49-F238E27FC236}">
              <a16:creationId xmlns:a16="http://schemas.microsoft.com/office/drawing/2014/main" id="{00000000-0008-0000-0100-000002000000}"/>
            </a:ext>
          </a:extLst>
        </xdr:cNvPr>
        <xdr:cNvGrpSpPr/>
      </xdr:nvGrpSpPr>
      <xdr:grpSpPr>
        <a:xfrm>
          <a:off x="21096903" y="4010609"/>
          <a:ext cx="800100" cy="390525"/>
          <a:chOff x="152425" y="299025"/>
          <a:chExt cx="1571625" cy="762000"/>
        </a:xfrm>
      </xdr:grpSpPr>
      <xdr:pic>
        <xdr:nvPicPr>
          <xdr:cNvPr id="3" name="Shape 3" descr="on Transparent.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a:alphaModFix/>
          </a:blip>
          <a:stretch>
            <a:fillRect/>
          </a:stretch>
        </xdr:blipFill>
        <xdr:spPr>
          <a:xfrm>
            <a:off x="152425" y="299025"/>
            <a:ext cx="1571625" cy="762000"/>
          </a:xfrm>
          <a:prstGeom prst="rect">
            <a:avLst/>
          </a:prstGeom>
          <a:noFill/>
          <a:ln>
            <a:noFill/>
          </a:ln>
        </xdr:spPr>
      </xdr:pic>
    </xdr:grpSp>
    <xdr:clientData fLocksWithSheet="0"/>
  </xdr:oneCellAnchor>
  <xdr:oneCellAnchor>
    <xdr:from>
      <xdr:col>1</xdr:col>
      <xdr:colOff>28575</xdr:colOff>
      <xdr:row>1</xdr:row>
      <xdr:rowOff>171450</xdr:rowOff>
    </xdr:from>
    <xdr:ext cx="15973425" cy="3400425"/>
    <xdr:pic>
      <xdr:nvPicPr>
        <xdr:cNvPr id="4" name="image2.png" title="Imag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9fin.com/company/BMO%20Transportation%20Finance/overview" TargetMode="External"/><Relationship Id="rId21" Type="http://schemas.openxmlformats.org/officeDocument/2006/relationships/hyperlink" Target="https://9fin.com/company/MDA%20Space/overview" TargetMode="External"/><Relationship Id="rId42" Type="http://schemas.openxmlformats.org/officeDocument/2006/relationships/hyperlink" Target="https://www.kinderhook.com/press-release/enhabit-to-be-acquired-by-kinderhook-industries/" TargetMode="External"/><Relationship Id="rId63" Type="http://schemas.openxmlformats.org/officeDocument/2006/relationships/hyperlink" Target="https://9fin.com/company/Aypa%20Power/overview" TargetMode="External"/><Relationship Id="rId84" Type="http://schemas.openxmlformats.org/officeDocument/2006/relationships/hyperlink" Target="https://www.businesswire.com/news/home/20260805292442/en/Veritas-Capital-to-Acquire-Trinity-Consultants" TargetMode="External"/><Relationship Id="rId138" Type="http://schemas.openxmlformats.org/officeDocument/2006/relationships/hyperlink" Target="https://www.bloomberg.com/news/articles/2026-07-14/lionsgate-studios-said-to-explore-sale-amid-m-a-wave-reuters" TargetMode="External"/><Relationship Id="rId159" Type="http://schemas.openxmlformats.org/officeDocument/2006/relationships/hyperlink" Target="https://www.prnewswire.com/news-releases/people-incorporated-proposes-to-acquire-mgm-resorts-international-for-48-30-per-share-in-cash-302787093.html" TargetMode="External"/><Relationship Id="rId170" Type="http://schemas.openxmlformats.org/officeDocument/2006/relationships/hyperlink" Target="https://9fin.com/company/Sazerac%20Company/overview" TargetMode="External"/><Relationship Id="rId191" Type="http://schemas.openxmlformats.org/officeDocument/2006/relationships/hyperlink" Target="https://www.bloomberg.com/news/articles/2025-12-16/apollo-weighs-potential-12-billion-sale-of-atlas-air" TargetMode="External"/><Relationship Id="rId205" Type="http://schemas.openxmlformats.org/officeDocument/2006/relationships/hyperlink" Target="https://www.bloomberg.com/news/articles/2025-08-13/beyondtrust-owner-is-said-to-explore-sale-of-cyber-firm?srnd=phx-deals" TargetMode="External"/><Relationship Id="rId107" Type="http://schemas.openxmlformats.org/officeDocument/2006/relationships/hyperlink" Target="https://9fin.com/company/Aquarian/overview" TargetMode="External"/><Relationship Id="rId11" Type="http://schemas.openxmlformats.org/officeDocument/2006/relationships/hyperlink" Target="https://9fin.com/news/citi-to-lead-financing-for-veritas-bgis-buyout-9fin-2026-07-21" TargetMode="External"/><Relationship Id="rId32" Type="http://schemas.openxmlformats.org/officeDocument/2006/relationships/hyperlink" Target="https://www.bloomberg.com/news/articles/2026-04-27/banks-to-join-bmo-led-1-8-billion-debt-deal-for-honeywell-spinoff" TargetMode="External"/><Relationship Id="rId53" Type="http://schemas.openxmlformats.org/officeDocument/2006/relationships/hyperlink" Target="https://9fin.com/news/12e6e9da-5bc8-43c8-943f-96978ffcc089" TargetMode="External"/><Relationship Id="rId74" Type="http://schemas.openxmlformats.org/officeDocument/2006/relationships/hyperlink" Target="https://www.prnewswire.com/news-releases/arcline-investment-management-to-acquire-avantus-302815142.html" TargetMode="External"/><Relationship Id="rId128" Type="http://schemas.openxmlformats.org/officeDocument/2006/relationships/hyperlink" Target="https://www.bloomberg.com/news/articles/2026-07-26/brown-forman-says-it-rejected-sazerac-s-unsolicited-takeover-bid" TargetMode="External"/><Relationship Id="rId149" Type="http://schemas.openxmlformats.org/officeDocument/2006/relationships/hyperlink" Target="https://www.reuters.com/business/bumble-dating-app-explores-sale-sources-say-2026-06-25/" TargetMode="External"/><Relationship Id="rId5" Type="http://schemas.openxmlformats.org/officeDocument/2006/relationships/hyperlink" Target="https://sec.9fin.com/Archives/edgar/data/1114483/000095010326011683/dp251107_ex9901.htm" TargetMode="External"/><Relationship Id="rId95" Type="http://schemas.openxmlformats.org/officeDocument/2006/relationships/hyperlink" Target="https://9fin.com/news/79555b10-2ef7-4ce4-8ef4-b1409a1de77b" TargetMode="External"/><Relationship Id="rId160" Type="http://schemas.openxmlformats.org/officeDocument/2006/relationships/hyperlink" Target="https://9fin.com/company/Lantheus/overview" TargetMode="External"/><Relationship Id="rId181" Type="http://schemas.openxmlformats.org/officeDocument/2006/relationships/hyperlink" Target="https://www.reuters.com/business/finance/bain-capital-explores-sale-or-ipo-dessert-holdings-sources-say-2026-02-19/" TargetMode="External"/><Relationship Id="rId22" Type="http://schemas.openxmlformats.org/officeDocument/2006/relationships/hyperlink" Target="https://www.prnewswire.com/news-releases/mda-space-announces-definitive-agreement-to-acquire-us-based-blue-canyon-technologies-llc-302805305.html" TargetMode="External"/><Relationship Id="rId43" Type="http://schemas.openxmlformats.org/officeDocument/2006/relationships/hyperlink" Target="https://9fin.com/company/Mack-Cali%20Realty/overview" TargetMode="External"/><Relationship Id="rId64" Type="http://schemas.openxmlformats.org/officeDocument/2006/relationships/hyperlink" Target="https://bep.brookfield.com/press-releases/bep/brookfield-acquire-aypa-power-leading-north-american-battery-storage-platform" TargetMode="External"/><Relationship Id="rId118" Type="http://schemas.openxmlformats.org/officeDocument/2006/relationships/hyperlink" Target="https://newsroom.bmo.com/2026-05-11-BMO-Announces-Strategic-Sale-of-Transportation-and-Vendor-Finance-Businesses" TargetMode="External"/><Relationship Id="rId139" Type="http://schemas.openxmlformats.org/officeDocument/2006/relationships/hyperlink" Target="https://www.bloomberg.com/news/articles/2026-07-07/private-markets-data-firm-gain-seeks-500-million-valuation-sale" TargetMode="External"/><Relationship Id="rId85" Type="http://schemas.openxmlformats.org/officeDocument/2006/relationships/hyperlink" Target="https://9fin.com/company/International%20Flavors%20&amp;%20Fragrances/overview" TargetMode="External"/><Relationship Id="rId150" Type="http://schemas.openxmlformats.org/officeDocument/2006/relationships/hyperlink" Target="https://9fin.com/company/Edgewell%20Personal%20Care/overview" TargetMode="External"/><Relationship Id="rId171" Type="http://schemas.openxmlformats.org/officeDocument/2006/relationships/hyperlink" Target="https://www.reuters.com/legal/transactional/sazerac-offers-buy-jack-daniels-maker-brown-forman-about-15-billion-wsj-reports-2026-04-15/" TargetMode="External"/><Relationship Id="rId192" Type="http://schemas.openxmlformats.org/officeDocument/2006/relationships/hyperlink" Target="https://9fin.com/company/Dye%20&amp;%20Durham/overview" TargetMode="External"/><Relationship Id="rId206" Type="http://schemas.openxmlformats.org/officeDocument/2006/relationships/hyperlink" Target="https://9fin.com/company/BlackHawk%20Network/overview" TargetMode="External"/><Relationship Id="rId12" Type="http://schemas.openxmlformats.org/officeDocument/2006/relationships/hyperlink" Target="https://9fin.com/company/Solstice%20Advanced%20Materials/overview" TargetMode="External"/><Relationship Id="rId33" Type="http://schemas.openxmlformats.org/officeDocument/2006/relationships/hyperlink" Target="https://ir.aresmgmt.com/news/whitestone-reit-to-be-acquired-by-ares-for-dollar17-billion/23f560f3-d09b-4680-84f9-692c6effb29a" TargetMode="External"/><Relationship Id="rId108" Type="http://schemas.openxmlformats.org/officeDocument/2006/relationships/hyperlink" Target="https://www.businesswire.com/news/home/20251106216739/en/Aquarian-Capital-to-Acquire-Brighthouse-Financial" TargetMode="External"/><Relationship Id="rId129" Type="http://schemas.openxmlformats.org/officeDocument/2006/relationships/hyperlink" Target="https://9fin.com/company/Berner%20Food%20%26%20Beverage/overview" TargetMode="External"/><Relationship Id="rId54" Type="http://schemas.openxmlformats.org/officeDocument/2006/relationships/hyperlink" Target="https://www.privateequitywire.co.uk/new-mountain-capital-to-acquire-asset-living-in-deal-valued-at-over-2bn/" TargetMode="External"/><Relationship Id="rId75" Type="http://schemas.openxmlformats.org/officeDocument/2006/relationships/hyperlink" Target="https://9fin.com/company/Republic%20Finance/overview" TargetMode="External"/><Relationship Id="rId96" Type="http://schemas.openxmlformats.org/officeDocument/2006/relationships/hyperlink" Target="https://9fin.com/company/Peak%20Utility%20Services/overview" TargetMode="External"/><Relationship Id="rId140" Type="http://schemas.openxmlformats.org/officeDocument/2006/relationships/hyperlink" Target="https://9fin.com/company/Salsify/overview" TargetMode="External"/><Relationship Id="rId161" Type="http://schemas.openxmlformats.org/officeDocument/2006/relationships/hyperlink" Target="https://www.bloomberg.com/news/articles/2026-05-22/lantheus-is-said-to-weigh-sale-following-offer-from-curium?cmpid=BBBXT052626_DEALS&amp;utm_campaign=deals&amp;utm_medium=email&amp;utm_source=newsletter&amp;utm_term=260526&amp;utm_content=4777" TargetMode="External"/><Relationship Id="rId182" Type="http://schemas.openxmlformats.org/officeDocument/2006/relationships/hyperlink" Target="https://9fin.com/company/Kinetik/overview" TargetMode="External"/><Relationship Id="rId6" Type="http://schemas.openxmlformats.org/officeDocument/2006/relationships/hyperlink" Target="https://9fin.com/company/Group%201%20Automotive/overview" TargetMode="External"/><Relationship Id="rId23" Type="http://schemas.openxmlformats.org/officeDocument/2006/relationships/hyperlink" Target="https://9fin.com/company/Deluxe%20Corporation/overview" TargetMode="External"/><Relationship Id="rId119" Type="http://schemas.openxmlformats.org/officeDocument/2006/relationships/hyperlink" Target="https://9fin.com/company/Stream%20Data%20Centers/overview" TargetMode="External"/><Relationship Id="rId44" Type="http://schemas.openxmlformats.org/officeDocument/2006/relationships/hyperlink" Target="https://sec.9fin.com/Archives/edgar/data/924901/000110465926018349/tm267019d1_8k.htm" TargetMode="External"/><Relationship Id="rId65" Type="http://schemas.openxmlformats.org/officeDocument/2006/relationships/hyperlink" Target="https://9fin.com/company/Mavis%20Tire/overview" TargetMode="External"/><Relationship Id="rId86" Type="http://schemas.openxmlformats.org/officeDocument/2006/relationships/hyperlink" Target="https://www.cvc.com/media/news/2026/iff-enters-into-agreement-to-sell-its-food-ingredients-business-to-cvc/" TargetMode="External"/><Relationship Id="rId130" Type="http://schemas.openxmlformats.org/officeDocument/2006/relationships/hyperlink" Target="https://www.pehub.com/exclusive-peak-rock-to-test-buyout-market-for-private-label-food-company-berner-sources-say/" TargetMode="External"/><Relationship Id="rId151" Type="http://schemas.openxmlformats.org/officeDocument/2006/relationships/hyperlink" Target="https://www.bloomberg.com/news/articles/2026-06-22/schick-razor-maker-is-said-to-reject-unsolicited-takeover-offer?cmpid=BBBXT062326_DEALS&amp;utm_campaign=deals&amp;utm_medium=email&amp;utm_source=newsletter&amp;utm_term=260623&amp;utm_content=5805" TargetMode="External"/><Relationship Id="rId172" Type="http://schemas.openxmlformats.org/officeDocument/2006/relationships/hyperlink" Target="https://9fin.com/company/SBA%20Communications/overview" TargetMode="External"/><Relationship Id="rId193" Type="http://schemas.openxmlformats.org/officeDocument/2006/relationships/hyperlink" Target="https://www.bloomberg.com/news/articles/2025-11-21/ex-dye-durham-ceo-s-firm-said-to-offer-111-premium-to-buy-the-company" TargetMode="External"/><Relationship Id="rId207" Type="http://schemas.openxmlformats.org/officeDocument/2006/relationships/hyperlink" Target="https://www.bloomberg.com/news/articles/2025-07-24/gtcr-is-in-talks-to-acquire-prepaid-card-company-blackhawk?srnd=phx-deals" TargetMode="External"/><Relationship Id="rId13" Type="http://schemas.openxmlformats.org/officeDocument/2006/relationships/hyperlink" Target="https://www.prnewswire.com/news-releases/solstice-advanced-materials-to-acquire-element-solutions-creating-an-industry-leading-advanced-materials-platform-aligned-to-serving-attractive-secular-growth-markets-302818329.html" TargetMode="External"/><Relationship Id="rId109" Type="http://schemas.openxmlformats.org/officeDocument/2006/relationships/hyperlink" Target="https://9fin.com/company/Park%20Place/overview" TargetMode="External"/><Relationship Id="rId34" Type="http://schemas.openxmlformats.org/officeDocument/2006/relationships/hyperlink" Target="https://9fin.com/company/Fertitta%20Entertainment/overview" TargetMode="External"/><Relationship Id="rId55" Type="http://schemas.openxmlformats.org/officeDocument/2006/relationships/hyperlink" Target="https://www.tsgconsumer.com/news/tsg-consumer-to-acquire-majority-stake-in-saltair" TargetMode="External"/><Relationship Id="rId76" Type="http://schemas.openxmlformats.org/officeDocument/2006/relationships/hyperlink" Target="https://www.prnewswire.com/news-releases/republic-finance-agrees-to-be-acquired-by-a-jc-flowers-led-investor-group-302811940.html" TargetMode="External"/><Relationship Id="rId97" Type="http://schemas.openxmlformats.org/officeDocument/2006/relationships/hyperlink" Target="https://www.prnewswire.com/news-releases/greenbelt-capital-partners-agrees-to-acquire-peak-utility-services-group-from-orix-capital-partners-302710406.html" TargetMode="External"/><Relationship Id="rId120" Type="http://schemas.openxmlformats.org/officeDocument/2006/relationships/hyperlink" Target="https://www.bloomberg.com/news/articles/2025-08-06/apollo-global-to-buy-builder-of-large-scale-us-data-centers" TargetMode="External"/><Relationship Id="rId141" Type="http://schemas.openxmlformats.org/officeDocument/2006/relationships/hyperlink" Target="https://9fin.com/news/tpg-backed-salsify-explores-sale-9fin-2026-07-06" TargetMode="External"/><Relationship Id="rId7" Type="http://schemas.openxmlformats.org/officeDocument/2006/relationships/hyperlink" Target="https://www.prnewswire.com/news-releases/group-1-agrees-to-acquire-hennessy-automobile-dealerships-in-the-atlanta-market-to-advance-proven-cluster-strategy-302838323.html" TargetMode="External"/><Relationship Id="rId162" Type="http://schemas.openxmlformats.org/officeDocument/2006/relationships/hyperlink" Target="https://9fin.com/company/Eyecare%20Partners/overview" TargetMode="External"/><Relationship Id="rId183" Type="http://schemas.openxmlformats.org/officeDocument/2006/relationships/hyperlink" Target="https://www.ft.com/content/b3afb915-5daf-4085-a022-7261b5d706ff" TargetMode="External"/><Relationship Id="rId24" Type="http://schemas.openxmlformats.org/officeDocument/2006/relationships/hyperlink" Target="https://sec.9fin.com/Archives/edgar/data/27996/000110465926075414/tm2618004d1_ex99-1.htm" TargetMode="External"/><Relationship Id="rId45" Type="http://schemas.openxmlformats.org/officeDocument/2006/relationships/hyperlink" Target="https://investor.gldd.com/news-releases/news-release-details/great-lakes-dredge-dock-join-saltchuk-family-companies" TargetMode="External"/><Relationship Id="rId66" Type="http://schemas.openxmlformats.org/officeDocument/2006/relationships/hyperlink" Target="https://www.businesswire.com/news/home/20260720845773/en/Mavis-to-Acquire-Pep-Boys-from-Icahn-Enterprises-for-%24700-Million-in-Cash" TargetMode="External"/><Relationship Id="rId87" Type="http://schemas.openxmlformats.org/officeDocument/2006/relationships/hyperlink" Target="https://9fin.com/company/Arclight%20GCX/overview" TargetMode="External"/><Relationship Id="rId110" Type="http://schemas.openxmlformats.org/officeDocument/2006/relationships/hyperlink" Target="https://www.prnewswire.com/news-releases/service-express-and-park-place-to-merge-with-a-shared-focus-on-growth-and-customer-service-302551708.html" TargetMode="External"/><Relationship Id="rId131" Type="http://schemas.openxmlformats.org/officeDocument/2006/relationships/hyperlink" Target="https://9fin.com/company/SAI%20MedPartners/overview" TargetMode="External"/><Relationship Id="rId61" Type="http://schemas.openxmlformats.org/officeDocument/2006/relationships/hyperlink" Target="https://9fin.com/company/Central%20Garden%20%26%20Pet/overview" TargetMode="External"/><Relationship Id="rId82" Type="http://schemas.openxmlformats.org/officeDocument/2006/relationships/hyperlink" Target="https://www.businesswire.com/news/home/20260604882009/en/TPG-Led-Investor-Group-Acquires-Grocery-Anchored-Retail-Leader-ECHO-Realty" TargetMode="External"/><Relationship Id="rId152" Type="http://schemas.openxmlformats.org/officeDocument/2006/relationships/hyperlink" Target="https://9fin.com/company/LaserAway/overview" TargetMode="External"/><Relationship Id="rId173" Type="http://schemas.openxmlformats.org/officeDocument/2006/relationships/hyperlink" Target="https://www.bloomberg.com/news/articles/2026-04-02/tower-operator-sba-communications-is-exploring-a-potential-sale" TargetMode="External"/><Relationship Id="rId194" Type="http://schemas.openxmlformats.org/officeDocument/2006/relationships/hyperlink" Target="https://9fin.com/company/Priority/overview" TargetMode="External"/><Relationship Id="rId199" Type="http://schemas.openxmlformats.org/officeDocument/2006/relationships/hyperlink" Target="https://www.privateequitywire.co.uk/thoreau-group-nears-12bn-acquisition-of-ensemble-health-partners/" TargetMode="External"/><Relationship Id="rId203" Type="http://schemas.openxmlformats.org/officeDocument/2006/relationships/hyperlink" Target="https://9fin.com/news/726def0f-d78a-4064-a3bc-3ce6a8f0bb5b" TargetMode="External"/><Relationship Id="rId208" Type="http://schemas.openxmlformats.org/officeDocument/2006/relationships/hyperlink" Target="https://9fin.com/company/Canada%20Goose/overview" TargetMode="External"/><Relationship Id="rId19" Type="http://schemas.openxmlformats.org/officeDocument/2006/relationships/hyperlink" Target="https://9fin.com/company/H.B.%20Fuller/overview" TargetMode="External"/><Relationship Id="rId14" Type="http://schemas.openxmlformats.org/officeDocument/2006/relationships/hyperlink" Target="https://9fin.com/company/Alcoa/overview" TargetMode="External"/><Relationship Id="rId30" Type="http://schemas.openxmlformats.org/officeDocument/2006/relationships/hyperlink" Target="https://sec.9fin.com/Archives/edgar/data/855658/000143774926014686/lscc20260404_10q.htm" TargetMode="External"/><Relationship Id="rId35" Type="http://schemas.openxmlformats.org/officeDocument/2006/relationships/hyperlink" Target="https://9fin.com/news/15333780-3928-4008-99bd-f3dde82ddc85" TargetMode="External"/><Relationship Id="rId56" Type="http://schemas.openxmlformats.org/officeDocument/2006/relationships/hyperlink" Target="https://www.blackstone.com/news/press/blackstone-energy-transition-partners-announces-agreement-to-acquire-darkvision-from-koch-engineered-solutions/" TargetMode="External"/><Relationship Id="rId77" Type="http://schemas.openxmlformats.org/officeDocument/2006/relationships/hyperlink" Target="https://9fin.com/company/FirstCash/overview" TargetMode="External"/><Relationship Id="rId100" Type="http://schemas.openxmlformats.org/officeDocument/2006/relationships/hyperlink" Target="https://9fin.com/company/Sabre%20Industries/overview" TargetMode="External"/><Relationship Id="rId105" Type="http://schemas.openxmlformats.org/officeDocument/2006/relationships/hyperlink" Target="https://9fin.com/company/Novaria%20Group/overview" TargetMode="External"/><Relationship Id="rId126" Type="http://schemas.openxmlformats.org/officeDocument/2006/relationships/hyperlink" Target="https://www.privateequitywire.co.uk/ares-weighs-acquisition-of-buyout-firm-leonard-green/" TargetMode="External"/><Relationship Id="rId147" Type="http://schemas.openxmlformats.org/officeDocument/2006/relationships/hyperlink" Target="https://www.bloomberg.com/news/articles/2026-06-26/tpg-leonard-green-explore-sale-of-mcilroy-backed-troon-golf" TargetMode="External"/><Relationship Id="rId168" Type="http://schemas.openxmlformats.org/officeDocument/2006/relationships/hyperlink" Target="https://9fin.com/company/Teleflex/overview" TargetMode="External"/><Relationship Id="rId8" Type="http://schemas.openxmlformats.org/officeDocument/2006/relationships/hyperlink" Target="https://9fin.com/company/PANTHERx%20Rare/overview" TargetMode="External"/><Relationship Id="rId51" Type="http://schemas.openxmlformats.org/officeDocument/2006/relationships/hyperlink" Target="https://9fin.com/news/36976874-9352-4625-a046-a440eb39f79b" TargetMode="External"/><Relationship Id="rId72" Type="http://schemas.openxmlformats.org/officeDocument/2006/relationships/hyperlink" Target="https://sec.9fin.com/Archives/edgar/data/2067876/000206787626000034/vsnt-20260706.htm" TargetMode="External"/><Relationship Id="rId93" Type="http://schemas.openxmlformats.org/officeDocument/2006/relationships/hyperlink" Target="https://9fin.com/company/GCI%20Liberty/overview" TargetMode="External"/><Relationship Id="rId98" Type="http://schemas.openxmlformats.org/officeDocument/2006/relationships/hyperlink" Target="https://9fin.com/company/Paradigm/overview" TargetMode="External"/><Relationship Id="rId121" Type="http://schemas.openxmlformats.org/officeDocument/2006/relationships/hyperlink" Target="https://9fin.com/company/Red%20Oak%20Power/overview" TargetMode="External"/><Relationship Id="rId142" Type="http://schemas.openxmlformats.org/officeDocument/2006/relationships/hyperlink" Target="https://9fin.com/company/GFL%20Environmental/overview" TargetMode="External"/><Relationship Id="rId163" Type="http://schemas.openxmlformats.org/officeDocument/2006/relationships/hyperlink" Target="https://9fin.com/news/6593b59d-a5ba-4d14-80d4-846ffc0ba1a5" TargetMode="External"/><Relationship Id="rId184" Type="http://schemas.openxmlformats.org/officeDocument/2006/relationships/hyperlink" Target="https://9fin.com/company/Imprivata/overview" TargetMode="External"/><Relationship Id="rId189" Type="http://schemas.openxmlformats.org/officeDocument/2006/relationships/hyperlink" Target="https://www.bloomberg.com/news/articles/2026-01-16/h-f-explores-9-billion-plus-sale-of-medical-device-maker-cordis" TargetMode="External"/><Relationship Id="rId3" Type="http://schemas.openxmlformats.org/officeDocument/2006/relationships/hyperlink" Target="https://9fin.com/news/682cfdc5-4e0f-4a32-92ea-db457841f6e8" TargetMode="External"/><Relationship Id="rId25" Type="http://schemas.openxmlformats.org/officeDocument/2006/relationships/hyperlink" Target="https://9fin.com/company/Nuvei/overview" TargetMode="External"/><Relationship Id="rId46" Type="http://schemas.openxmlformats.org/officeDocument/2006/relationships/hyperlink" Target="https://9fin.com/company/Talen%20Energy/overview" TargetMode="External"/><Relationship Id="rId67" Type="http://schemas.openxmlformats.org/officeDocument/2006/relationships/hyperlink" Target="https://9fin.com/company/Russell%20Investments/overview" TargetMode="External"/><Relationship Id="rId116" Type="http://schemas.openxmlformats.org/officeDocument/2006/relationships/hyperlink" Target="https://www.businesswire.com/news/home/20250817506469/fr" TargetMode="External"/><Relationship Id="rId137" Type="http://schemas.openxmlformats.org/officeDocument/2006/relationships/hyperlink" Target="https://9fin.com/company/Lionsgate/overview" TargetMode="External"/><Relationship Id="rId158" Type="http://schemas.openxmlformats.org/officeDocument/2006/relationships/hyperlink" Target="https://9fin.com/company/IAC/overview" TargetMode="External"/><Relationship Id="rId20" Type="http://schemas.openxmlformats.org/officeDocument/2006/relationships/hyperlink" Target="https://sec.9fin.com/Archives/edgar/data/39368/000143774926021844/ex_981232.htm" TargetMode="External"/><Relationship Id="rId41" Type="http://schemas.openxmlformats.org/officeDocument/2006/relationships/hyperlink" Target="https://investor.ncratleos.com/news-events/press-releases/detail/174/brinks-to-acquire-ncr-atleos-for-6-6-billion-creating-leading-financial-technology-infrastructure-company" TargetMode="External"/><Relationship Id="rId62" Type="http://schemas.openxmlformats.org/officeDocument/2006/relationships/hyperlink" Target="https://ir.central.com/news-events/press-releases/detail/485/central-garden-pet-to-acquire-a-majority-interest-in" TargetMode="External"/><Relationship Id="rId83" Type="http://schemas.openxmlformats.org/officeDocument/2006/relationships/hyperlink" Target="https://9fin.com/company/Trinity%20Consultants/overview" TargetMode="External"/><Relationship Id="rId88" Type="http://schemas.openxmlformats.org/officeDocument/2006/relationships/hyperlink" Target="https://sec.9fin.com/Archives/edgar/data/1679688/000110465926066617/tm2615653d1_ex99-1.htm" TargetMode="External"/><Relationship Id="rId111" Type="http://schemas.openxmlformats.org/officeDocument/2006/relationships/hyperlink" Target="https://9fin.com/company/Pave%20America/overview" TargetMode="External"/><Relationship Id="rId132" Type="http://schemas.openxmlformats.org/officeDocument/2006/relationships/hyperlink" Target="https://9fin.com/news/northlane-sale-of-sai-medpartners-enters-final-stages-9fin-2026-07-17" TargetMode="External"/><Relationship Id="rId153" Type="http://schemas.openxmlformats.org/officeDocument/2006/relationships/hyperlink" Target="https://www.reuters.com/legal/transactional/ares-backed-medical-spa-chain-laseraway-explores-sale-sources-say-2026-06-04/" TargetMode="External"/><Relationship Id="rId174" Type="http://schemas.openxmlformats.org/officeDocument/2006/relationships/hyperlink" Target="https://9fin.com/company/JetBlue/overview" TargetMode="External"/><Relationship Id="rId179" Type="http://schemas.openxmlformats.org/officeDocument/2006/relationships/hyperlink" Target="https://www.bloomberg.com/news/articles/2026-02-25/momentum-midstream-explores-sale-that-could-fetch-gas-pipeline-firm-5-billion" TargetMode="External"/><Relationship Id="rId195" Type="http://schemas.openxmlformats.org/officeDocument/2006/relationships/hyperlink" Target="https://sec.9fin.com/Archives/edgar/data/1653558/000165355825000128/prth-20251110.htm" TargetMode="External"/><Relationship Id="rId209" Type="http://schemas.openxmlformats.org/officeDocument/2006/relationships/hyperlink" Target="https://www.forbes.com/sites/markfaithfull/2025/08/27/bain-capital-waits-on-more-bidders-in-14-billion-canada-goose-sale/" TargetMode="External"/><Relationship Id="rId190" Type="http://schemas.openxmlformats.org/officeDocument/2006/relationships/hyperlink" Target="https://9fin.com/company/Atlas%20Air%20Worldwide/overview" TargetMode="External"/><Relationship Id="rId204" Type="http://schemas.openxmlformats.org/officeDocument/2006/relationships/hyperlink" Target="https://9fin.com/company/BeyondTrust/overview" TargetMode="External"/><Relationship Id="rId15" Type="http://schemas.openxmlformats.org/officeDocument/2006/relationships/hyperlink" Target="https://sec.9fin.com/Archives/edgar/data/1675149/000095010326009899/dp249366_8k-pr.htm" TargetMode="External"/><Relationship Id="rId36" Type="http://schemas.openxmlformats.org/officeDocument/2006/relationships/hyperlink" Target="https://9fin.com/company/Star%20Bulk/overview" TargetMode="External"/><Relationship Id="rId57" Type="http://schemas.openxmlformats.org/officeDocument/2006/relationships/hyperlink" Target="https://9fin.com/company/Grant%20Thornton/overview" TargetMode="External"/><Relationship Id="rId106" Type="http://schemas.openxmlformats.org/officeDocument/2006/relationships/hyperlink" Target="https://www.prnewswire.com/news-releases/arcline-investment-management-to-acquire-novaria-group-302610070.html" TargetMode="External"/><Relationship Id="rId127" Type="http://schemas.openxmlformats.org/officeDocument/2006/relationships/hyperlink" Target="https://9fin.com/company/Brown-Forman/overview" TargetMode="External"/><Relationship Id="rId10" Type="http://schemas.openxmlformats.org/officeDocument/2006/relationships/hyperlink" Target="https://9fin.com/company/BGIS/overview" TargetMode="External"/><Relationship Id="rId31" Type="http://schemas.openxmlformats.org/officeDocument/2006/relationships/hyperlink" Target="https://www.businesswire.com/news/home/20260426359658/en/Real-to-Acquire-REMAX-Creating-a-Leading-Technology-Enabled-Global-Real-Estate-Platform" TargetMode="External"/><Relationship Id="rId52" Type="http://schemas.openxmlformats.org/officeDocument/2006/relationships/hyperlink" Target="https://9fin.com/company/Charter%20Communications/overview" TargetMode="External"/><Relationship Id="rId73" Type="http://schemas.openxmlformats.org/officeDocument/2006/relationships/hyperlink" Target="https://9fin.com/company/Avantus%20Aerospace/overview" TargetMode="External"/><Relationship Id="rId78" Type="http://schemas.openxmlformats.org/officeDocument/2006/relationships/hyperlink" Target="https://sec.9fin.com/Archives/edgar/data/840489/000110465926076623/tm2618455d1_ex99-1.htm" TargetMode="External"/><Relationship Id="rId94" Type="http://schemas.openxmlformats.org/officeDocument/2006/relationships/hyperlink" Target="https://sec.9fin.com/Archives/edgar/data/2057463/000110465926047805/tm2612513d1_8k.htm" TargetMode="External"/><Relationship Id="rId99" Type="http://schemas.openxmlformats.org/officeDocument/2006/relationships/hyperlink" Target="https://www.businesswire.com/news/home/20260212969115/en/Paradigm-Signs-Definitive-Agreement-to-Be-Acquired-by-Patient-Square-Capital" TargetMode="External"/><Relationship Id="rId101" Type="http://schemas.openxmlformats.org/officeDocument/2006/relationships/hyperlink" Target="https://9fin.com/news/527c9045-735f-4096-b00b-3e6522d10318" TargetMode="External"/><Relationship Id="rId122" Type="http://schemas.openxmlformats.org/officeDocument/2006/relationships/hyperlink" Target="https://www.prnewswire.com/news-releases/strategic-value-partners-announces-acquisition-of-red-oak-power-302500233.html" TargetMode="External"/><Relationship Id="rId143" Type="http://schemas.openxmlformats.org/officeDocument/2006/relationships/hyperlink" Target="https://www.bloomberg.com/news/articles/2026-07-03/gfl-environmental-weighs-take-private-amid-interest-from-buyout-firms" TargetMode="External"/><Relationship Id="rId148" Type="http://schemas.openxmlformats.org/officeDocument/2006/relationships/hyperlink" Target="https://9fin.com/company/Bumble%20Inc./overview" TargetMode="External"/><Relationship Id="rId164" Type="http://schemas.openxmlformats.org/officeDocument/2006/relationships/hyperlink" Target="https://9fin.com/company/Dream%20Finders%20Homes/overview" TargetMode="External"/><Relationship Id="rId169" Type="http://schemas.openxmlformats.org/officeDocument/2006/relationships/hyperlink" Target="https://www.bloomberg.com/news/articles/2026-04-21/cvc-gtcr-weigh-take-private-of-medical-equipment-provider-teleflex" TargetMode="External"/><Relationship Id="rId185" Type="http://schemas.openxmlformats.org/officeDocument/2006/relationships/hyperlink" Target="https://9fin.com/news/1cd0b054-3342-4335-9a3c-75b7e046ef08" TargetMode="External"/><Relationship Id="rId4" Type="http://schemas.openxmlformats.org/officeDocument/2006/relationships/hyperlink" Target="https://9fin.com/company/Integer%20Holdings/overview" TargetMode="External"/><Relationship Id="rId9" Type="http://schemas.openxmlformats.org/officeDocument/2006/relationships/hyperlink" Target="https://9fin.com/news/jpm-goldman-prep-financing-for-warburg-lbo-of-pantherx-rare-9fin-2026-07-15" TargetMode="External"/><Relationship Id="rId180" Type="http://schemas.openxmlformats.org/officeDocument/2006/relationships/hyperlink" Target="https://9fin.com/company/Dessert%20Holdings/overview" TargetMode="External"/><Relationship Id="rId210" Type="http://schemas.openxmlformats.org/officeDocument/2006/relationships/hyperlink" Target="https://www.yum.com/wps/portal/yumbrands/Yumbrands/news/!ut/p/z1/jY9BC4JAFIR_SwevvqeiLt1ECFPJ9iDaXmINU8NcWTf9-0l1EUp6t3l8M8MAgxxYx8em4qoRHW9nfWLOmdDIDDDBA0l9G6lpRPt45xqYGpC9APxxHgL7x78CsPX4DNiyIiGJg9T3rSCkrkWOzgdYyQiBVa0o3nO9rrBIBUyW11KWUn_I-V0r1Q9bDTWcpkkvL2JouC5kpeE3Sy0GBfmShP6e5niz2zH2Nk-wKkOn/?urile=wcm:oid:e2997638-c9e7-4619-bb35-443fd57eeab9" TargetMode="External"/><Relationship Id="rId26" Type="http://schemas.openxmlformats.org/officeDocument/2006/relationships/hyperlink" Target="https://9fin.com/news/bmo-to-lead-financing-for-payoneer-take-private-9fin-2026-07-17" TargetMode="External"/><Relationship Id="rId47" Type="http://schemas.openxmlformats.org/officeDocument/2006/relationships/hyperlink" Target="https://sec.9fin.com/Archives/edgar/data/1622536/000162253626000004/tln-20260115.htm" TargetMode="External"/><Relationship Id="rId68" Type="http://schemas.openxmlformats.org/officeDocument/2006/relationships/hyperlink" Target="https://www.bloomberg.com/news/articles/2026-07-09/b-capital-led-group-buys-russell-investments-for-2-8-billion" TargetMode="External"/><Relationship Id="rId89" Type="http://schemas.openxmlformats.org/officeDocument/2006/relationships/hyperlink" Target="https://9fin.com/company/Authentic%20Brands/overview" TargetMode="External"/><Relationship Id="rId112" Type="http://schemas.openxmlformats.org/officeDocument/2006/relationships/hyperlink" Target="https://www.prnewswire.com/news-releases/aea-investors-and-bci-acquire-pave-america-302550202.html" TargetMode="External"/><Relationship Id="rId133" Type="http://schemas.openxmlformats.org/officeDocument/2006/relationships/hyperlink" Target="https://9fin.com/company/Baker%20Tilly/overview" TargetMode="External"/><Relationship Id="rId154" Type="http://schemas.openxmlformats.org/officeDocument/2006/relationships/hyperlink" Target="https://9fin.com/company/LS%20Power/overview" TargetMode="External"/><Relationship Id="rId175" Type="http://schemas.openxmlformats.org/officeDocument/2006/relationships/hyperlink" Target="https://news.bloomberglaw.com/bankruptcy-law/jetblue-exploring-options-to-sell-itself-to-rival-semafor-says?utm_source=rss&amp;utm_medium=BKNW&amp;utm_campaign=0000019d-25dd-d4ab-afff-bdff7a7c0003" TargetMode="External"/><Relationship Id="rId196" Type="http://schemas.openxmlformats.org/officeDocument/2006/relationships/hyperlink" Target="https://9fin.com/company/Terex/overview" TargetMode="External"/><Relationship Id="rId200" Type="http://schemas.openxmlformats.org/officeDocument/2006/relationships/hyperlink" Target="https://9fin.com/company/Viper%20Energy/overview" TargetMode="External"/><Relationship Id="rId16" Type="http://schemas.openxmlformats.org/officeDocument/2006/relationships/hyperlink" Target="https://investors.rocketlabcorp.com/news-releases/news-release-details/rocket-lab-acquire-iridium-historic-deal-creating-fully" TargetMode="External"/><Relationship Id="rId37" Type="http://schemas.openxmlformats.org/officeDocument/2006/relationships/hyperlink" Target="https://www.globenewswire.com/news-release/2026/03/06/3251093/0/en/Star-Bulk-to-Acquire-16-Vessels-from-Diana-Shipping-Inc-Conditional-Upon-the-Success-of-Its-Offer-to-Acquire-Genco-Shipping-Trading-Ltd.html" TargetMode="External"/><Relationship Id="rId58" Type="http://schemas.openxmlformats.org/officeDocument/2006/relationships/hyperlink" Target="https://www.globenewswire.com/news-release/2026/07/29/3335168/0/en/Grant-Thornton-Advisors-to-Acquire-CBIZ-for-5-Billion-in-Transaction-Supported-by-New-Mountain-Capital.html" TargetMode="External"/><Relationship Id="rId79" Type="http://schemas.openxmlformats.org/officeDocument/2006/relationships/hyperlink" Target="https://9fin.com/company/BMC%20Helix/overview" TargetMode="External"/><Relationship Id="rId102" Type="http://schemas.openxmlformats.org/officeDocument/2006/relationships/hyperlink" Target="https://www.ionq.com/news/ionq-to-acquire-skywater-technology-creating-the-only-vertically-integrated-full-stack-quantum-platform-company" TargetMode="External"/><Relationship Id="rId123" Type="http://schemas.openxmlformats.org/officeDocument/2006/relationships/hyperlink" Target="https://9fin.com/company/Fullscript/overview" TargetMode="External"/><Relationship Id="rId144" Type="http://schemas.openxmlformats.org/officeDocument/2006/relationships/hyperlink" Target="https://9fin.com/company/Lyons%20Magnus/overview" TargetMode="External"/><Relationship Id="rId90" Type="http://schemas.openxmlformats.org/officeDocument/2006/relationships/hyperlink" Target="https://www.businesswire.com/news/home/20260521532973/en/Kontoor-Brands-Enters-Into-Definitive-Agreement-to-Sell-Lee-Business-to-Authentic-Brands-Group" TargetMode="External"/><Relationship Id="rId165" Type="http://schemas.openxmlformats.org/officeDocument/2006/relationships/hyperlink" Target="https://sec.9fin.com/Archives/edgar/data/1825088/000162828026033114/ex-991pressrelease.htm" TargetMode="External"/><Relationship Id="rId186" Type="http://schemas.openxmlformats.org/officeDocument/2006/relationships/hyperlink" Target="https://9fin.com/company/BlueCat%20Networks/overview" TargetMode="External"/><Relationship Id="rId211" Type="http://schemas.openxmlformats.org/officeDocument/2006/relationships/drawing" Target="../drawings/drawing1.xml"/><Relationship Id="rId27" Type="http://schemas.openxmlformats.org/officeDocument/2006/relationships/hyperlink" Target="https://9fin.com/company/Knack%20RCM/overview" TargetMode="External"/><Relationship Id="rId48" Type="http://schemas.openxmlformats.org/officeDocument/2006/relationships/hyperlink" Target="https://9fin.com/company/Sparklight%20(Cable%20One)/overview" TargetMode="External"/><Relationship Id="rId69" Type="http://schemas.openxmlformats.org/officeDocument/2006/relationships/hyperlink" Target="https://9fin.com/company/TransDigm%20Group/overview" TargetMode="External"/><Relationship Id="rId113" Type="http://schemas.openxmlformats.org/officeDocument/2006/relationships/hyperlink" Target="https://9fin.com/company/Altera%20Infrastructure/overview" TargetMode="External"/><Relationship Id="rId134" Type="http://schemas.openxmlformats.org/officeDocument/2006/relationships/hyperlink" Target="https://www.bloomberg.com/news/articles/2026-07-17/baker-tilly-eyes-3-billion-in-debt-to-replace-private-credit" TargetMode="External"/><Relationship Id="rId80" Type="http://schemas.openxmlformats.org/officeDocument/2006/relationships/hyperlink" Target="https://media.kkr.com/news-details?news_id=88c57512-bd4f-48ee-9386-bac5a7c95d94" TargetMode="External"/><Relationship Id="rId155" Type="http://schemas.openxmlformats.org/officeDocument/2006/relationships/hyperlink" Target="https://www.bloomberg.com/news/articles/2026-06-04/ls-power-said-to-near-purchase-of-edf-s-american-renewables-arm" TargetMode="External"/><Relationship Id="rId176" Type="http://schemas.openxmlformats.org/officeDocument/2006/relationships/hyperlink" Target="https://9fin.com/company/Exeter%20Finance/overview" TargetMode="External"/><Relationship Id="rId197" Type="http://schemas.openxmlformats.org/officeDocument/2006/relationships/hyperlink" Target="https://sec.9fin.com/Archives/edgar/data/97216/000110465925104013/tm2529764d1_8k.htm" TargetMode="External"/><Relationship Id="rId201" Type="http://schemas.openxmlformats.org/officeDocument/2006/relationships/hyperlink" Target="https://www.bloomberg.com/news/articles/2025-10-09/diamondback-unit-viper-is-said-to-weigh-a-sale-of-non-permian-oil-assets" TargetMode="External"/><Relationship Id="rId17" Type="http://schemas.openxmlformats.org/officeDocument/2006/relationships/hyperlink" Target="https://9fin.com/company/Matador%20Resources/overview" TargetMode="External"/><Relationship Id="rId38" Type="http://schemas.openxmlformats.org/officeDocument/2006/relationships/hyperlink" Target="https://9fin.com/company/Paramount%20Global/overview" TargetMode="External"/><Relationship Id="rId59" Type="http://schemas.openxmlformats.org/officeDocument/2006/relationships/hyperlink" Target="https://9fin.com/company/Copeland/overview" TargetMode="External"/><Relationship Id="rId103" Type="http://schemas.openxmlformats.org/officeDocument/2006/relationships/hyperlink" Target="https://9fin.com/company/Cvent/overview" TargetMode="External"/><Relationship Id="rId124" Type="http://schemas.openxmlformats.org/officeDocument/2006/relationships/hyperlink" Target="https://9fin.com/news/4b0255b7-77a5-4e73-9571-af09fcfe8afa" TargetMode="External"/><Relationship Id="rId70" Type="http://schemas.openxmlformats.org/officeDocument/2006/relationships/hyperlink" Target="https://www.prnewswire.com/news-releases/transdigm-announces-acquisition-of-prince--izant-302835126.html" TargetMode="External"/><Relationship Id="rId91" Type="http://schemas.openxmlformats.org/officeDocument/2006/relationships/hyperlink" Target="https://9fin.com/company/Grant%20Thornton/overview" TargetMode="External"/><Relationship Id="rId145" Type="http://schemas.openxmlformats.org/officeDocument/2006/relationships/hyperlink" Target="https://9fin.com/news/food-ingredients-producer-lyons-magnus-explores-sale-9fin-2026-07-01" TargetMode="External"/><Relationship Id="rId166" Type="http://schemas.openxmlformats.org/officeDocument/2006/relationships/hyperlink" Target="https://9fin.com/company/Honeywell/overview" TargetMode="External"/><Relationship Id="rId187" Type="http://schemas.openxmlformats.org/officeDocument/2006/relationships/hyperlink" Target="https://9fin.com/news/83e2cd97-c0cc-4b27-999b-e0763fb48672" TargetMode="External"/><Relationship Id="rId1" Type="http://schemas.openxmlformats.org/officeDocument/2006/relationships/hyperlink" Target="mailto:zilong@9fin.com" TargetMode="External"/><Relationship Id="rId28" Type="http://schemas.openxmlformats.org/officeDocument/2006/relationships/hyperlink" Target="https://9fin.com/news/b093bee8-5f1d-4e3d-88f7-5921cca2ace3" TargetMode="External"/><Relationship Id="rId49" Type="http://schemas.openxmlformats.org/officeDocument/2006/relationships/hyperlink" Target="https://9fin.com/news/dd77905d-dc21-44a7-b0cc-8cacebd9e469" TargetMode="External"/><Relationship Id="rId114" Type="http://schemas.openxmlformats.org/officeDocument/2006/relationships/hyperlink" Target="https://www.carlyle.com/media-room/news-release-archive/carlyle-acquire-altera-infrastructure-group%E2%80%99s-fpso-business" TargetMode="External"/><Relationship Id="rId60" Type="http://schemas.openxmlformats.org/officeDocument/2006/relationships/hyperlink" Target="https://www.businesswire.com/news/home/20260729958091/en/Copeland-Enters-into-Exclusive-Negotiations-to-Acquire-Dickson-Advancing-Cold-Chain-Leadership" TargetMode="External"/><Relationship Id="rId81" Type="http://schemas.openxmlformats.org/officeDocument/2006/relationships/hyperlink" Target="https://www.yum.com/wps/portal/yumbrands/Yumbrands/news/!ut/p/z1/jY9BC4JAFIR_SwevvqeiLt1ECFPJ9iDaXmINU8NcWTf9-0l1EUp6t3l8M8MAgxxYx8em4qoRHW9nfWLOmdDIDDDBA0l9G6lpRPt45xqYGpC9APxxHgL7x78CsPX4DNiyIiGJg9T3rSCkrkWOzgdYyQiBVa0o3nO9rrBIBUyW11KWUn_I-V0r1Q9bDTWcpkkvL2JouC5kpeE3Sy0GBfmShP6e5niz2zH2Nk-wKkOn/?urile=wcm:oid:e2997638-c9e7-4619-bb35-443fd57eeab9" TargetMode="External"/><Relationship Id="rId135" Type="http://schemas.openxmlformats.org/officeDocument/2006/relationships/hyperlink" Target="https://9fin.com/company/Command%20Alkon/overview" TargetMode="External"/><Relationship Id="rId156" Type="http://schemas.openxmlformats.org/officeDocument/2006/relationships/hyperlink" Target="https://9fin.com/company/Trinity%20Consultants/overview" TargetMode="External"/><Relationship Id="rId177" Type="http://schemas.openxmlformats.org/officeDocument/2006/relationships/hyperlink" Target="https://www.bloomberg.com/news/articles/2026-03-16/warburg-said-to-eye-2-5-billion-plus-sale-of-auto-lender-exeter" TargetMode="External"/><Relationship Id="rId198" Type="http://schemas.openxmlformats.org/officeDocument/2006/relationships/hyperlink" Target="https://9fin.com/company/Ensemble%20Health%20Partners/overview" TargetMode="External"/><Relationship Id="rId202" Type="http://schemas.openxmlformats.org/officeDocument/2006/relationships/hyperlink" Target="https://9fin.com/company/Cambrex/overview" TargetMode="External"/><Relationship Id="rId18" Type="http://schemas.openxmlformats.org/officeDocument/2006/relationships/hyperlink" Target="https://www.matadorresources.com/news-releases/news-release-details/matador-resources-company-announces-expansion-san-mateos" TargetMode="External"/><Relationship Id="rId39" Type="http://schemas.openxmlformats.org/officeDocument/2006/relationships/hyperlink" Target="https://sec.9fin.com/Archives/edgar/data/2041610/000110465926021911/tm2533570d75_8k.htm" TargetMode="External"/><Relationship Id="rId50" Type="http://schemas.openxmlformats.org/officeDocument/2006/relationships/hyperlink" Target="https://9fin.com/company/Qualtrics/overview" TargetMode="External"/><Relationship Id="rId104" Type="http://schemas.openxmlformats.org/officeDocument/2006/relationships/hyperlink" Target="https://www.cvent.com/en/press-release/on24-enters-definitive-agreement-be-acquired-cvent" TargetMode="External"/><Relationship Id="rId125" Type="http://schemas.openxmlformats.org/officeDocument/2006/relationships/hyperlink" Target="https://www.bloomberg.com/news/articles/2026-07-27/tpg-said-in-talks-to-buy-netrality-for-up-to-3-billion" TargetMode="External"/><Relationship Id="rId146" Type="http://schemas.openxmlformats.org/officeDocument/2006/relationships/hyperlink" Target="https://www.bloomberg.com/news/articles/2026-06-29/jana-builds-bigger-stake-in-fintech-alkami-and-pushes-for-sale?cmpid=BBBXT063026_DEALS&amp;utm_campaign=deals&amp;utm_medium=email&amp;utm_source=newsletter&amp;utm_term=260630&amp;utm_content=6047" TargetMode="External"/><Relationship Id="rId167" Type="http://schemas.openxmlformats.org/officeDocument/2006/relationships/hyperlink" Target="https://www.bloomberg.com/news/articles/2026-04-23/honeywell-is-said-to-near-sale-of-warehouse-services-unit-to-aip" TargetMode="External"/><Relationship Id="rId188" Type="http://schemas.openxmlformats.org/officeDocument/2006/relationships/hyperlink" Target="https://9fin.com/company/Cordis/overview" TargetMode="External"/><Relationship Id="rId71" Type="http://schemas.openxmlformats.org/officeDocument/2006/relationships/hyperlink" Target="https://9fin.com/company/Versant%20Media/overview" TargetMode="External"/><Relationship Id="rId92" Type="http://schemas.openxmlformats.org/officeDocument/2006/relationships/hyperlink" Target="https://www.grantthornton.com/insights/press-releases/2026/april/grant-thornton-australia-joins-grant-thornton-advisors" TargetMode="External"/><Relationship Id="rId2" Type="http://schemas.openxmlformats.org/officeDocument/2006/relationships/hyperlink" Target="https://9fin.com/company/CrossCountry/overview" TargetMode="External"/><Relationship Id="rId29" Type="http://schemas.openxmlformats.org/officeDocument/2006/relationships/hyperlink" Target="https://9fin.com/company/Lattice%20Semiconductor/overview" TargetMode="External"/><Relationship Id="rId40" Type="http://schemas.openxmlformats.org/officeDocument/2006/relationships/hyperlink" Target="https://9fin.com/company/Brink's/overview" TargetMode="External"/><Relationship Id="rId115" Type="http://schemas.openxmlformats.org/officeDocument/2006/relationships/hyperlink" Target="https://9fin.com/company/GIP%20Pilot/overview" TargetMode="External"/><Relationship Id="rId136" Type="http://schemas.openxmlformats.org/officeDocument/2006/relationships/hyperlink" Target="https://www.bloomberg.com/news/articles/2026-07-14/francisco-partners-nears-1-3-billion-deal-to-buy-command-alkon" TargetMode="External"/><Relationship Id="rId157" Type="http://schemas.openxmlformats.org/officeDocument/2006/relationships/hyperlink" Target="https://9fin.com/news/6d42036c-d0ce-439a-83bb-ffc0c717ecb5" TargetMode="External"/><Relationship Id="rId178" Type="http://schemas.openxmlformats.org/officeDocument/2006/relationships/hyperlink" Target="https://9fin.com/company/M6%20Midstream/over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Right="0"/>
    <pageSetUpPr fitToPage="1"/>
  </sheetPr>
  <dimension ref="A1:O538"/>
  <sheetViews>
    <sheetView showGridLines="0" tabSelected="1" zoomScale="70" zoomScaleNormal="70" workbookViewId="0">
      <selection activeCell="R15" sqref="R15"/>
    </sheetView>
  </sheetViews>
  <sheetFormatPr defaultColWidth="12.61328125" defaultRowHeight="15.75" customHeight="1" outlineLevelRow="1" outlineLevelCol="1"/>
  <cols>
    <col min="1" max="1" width="6.3828125" customWidth="1"/>
    <col min="2" max="2" width="32.4609375" customWidth="1"/>
    <col min="3" max="3" width="46" customWidth="1"/>
    <col min="4" max="4" width="11.3828125" customWidth="1"/>
    <col min="5" max="5" width="9.84375" customWidth="1"/>
    <col min="6" max="6" width="10.15234375" customWidth="1"/>
    <col min="7" max="7" width="26.3828125" customWidth="1"/>
    <col min="8" max="8" width="34.23046875" customWidth="1"/>
    <col min="9" max="9" width="119.84375" customWidth="1"/>
    <col min="10" max="10" width="18.84375" customWidth="1"/>
    <col min="11" max="11" width="6.3828125" customWidth="1" collapsed="1"/>
    <col min="12" max="15" width="18.61328125" hidden="1" customWidth="1" outlineLevel="1"/>
  </cols>
  <sheetData>
    <row r="1" spans="1:15" ht="14.25" customHeight="1">
      <c r="A1" s="1"/>
      <c r="B1" s="2"/>
      <c r="C1" s="3"/>
      <c r="D1" s="3"/>
      <c r="E1" s="3"/>
      <c r="F1" s="3"/>
      <c r="G1" s="3"/>
      <c r="H1" s="3"/>
      <c r="I1" s="3"/>
      <c r="J1" s="1"/>
      <c r="K1" s="1"/>
      <c r="L1" s="4"/>
      <c r="M1" s="4"/>
      <c r="N1" s="4"/>
      <c r="O1" s="4"/>
    </row>
    <row r="2" spans="1:15" ht="14.25" customHeight="1">
      <c r="A2" s="1"/>
      <c r="B2" s="2"/>
      <c r="C2" s="3" t="s">
        <v>0</v>
      </c>
      <c r="D2" s="3"/>
      <c r="E2" s="3"/>
      <c r="F2" s="3"/>
      <c r="G2" s="3"/>
      <c r="H2" s="3"/>
      <c r="I2" s="3"/>
      <c r="J2" s="1"/>
      <c r="K2" s="1"/>
      <c r="L2" s="4"/>
      <c r="M2" s="4"/>
      <c r="N2" s="4"/>
      <c r="O2" s="4"/>
    </row>
    <row r="3" spans="1:15" ht="14.25" customHeight="1">
      <c r="A3" s="1"/>
      <c r="B3" s="5"/>
      <c r="C3" s="6"/>
      <c r="D3" s="6"/>
      <c r="E3" s="6"/>
      <c r="F3" s="6"/>
      <c r="G3" s="6"/>
      <c r="H3" s="6"/>
      <c r="I3" s="6"/>
      <c r="J3" s="7"/>
      <c r="K3" s="1"/>
      <c r="L3" s="4"/>
      <c r="M3" s="4"/>
      <c r="N3" s="4"/>
      <c r="O3" s="4"/>
    </row>
    <row r="4" spans="1:15" ht="14.25" customHeight="1">
      <c r="A4" s="1"/>
      <c r="B4" s="5"/>
      <c r="C4" s="6"/>
      <c r="D4" s="6"/>
      <c r="E4" s="6"/>
      <c r="F4" s="6"/>
      <c r="G4" s="6"/>
      <c r="H4" s="6"/>
      <c r="I4" s="6"/>
      <c r="J4" s="7"/>
      <c r="K4" s="1"/>
      <c r="L4" s="4"/>
      <c r="M4" s="4"/>
      <c r="N4" s="4"/>
      <c r="O4" s="4"/>
    </row>
    <row r="5" spans="1:15" ht="14.25" customHeight="1">
      <c r="A5" s="1"/>
      <c r="B5" s="6"/>
      <c r="C5" s="6"/>
      <c r="D5" s="6"/>
      <c r="E5" s="6"/>
      <c r="F5" s="6"/>
      <c r="G5" s="6"/>
      <c r="H5" s="6"/>
      <c r="I5" s="6"/>
      <c r="J5" s="7"/>
      <c r="K5" s="1"/>
      <c r="L5" s="4"/>
      <c r="M5" s="4"/>
      <c r="N5" s="4"/>
      <c r="O5" s="4"/>
    </row>
    <row r="6" spans="1:15" ht="14.25" customHeight="1">
      <c r="A6" s="1"/>
      <c r="B6" s="7"/>
      <c r="C6" s="6"/>
      <c r="D6" s="6"/>
      <c r="E6" s="6"/>
      <c r="F6" s="6"/>
      <c r="G6" s="6"/>
      <c r="H6" s="6"/>
      <c r="I6" s="6"/>
      <c r="J6" s="7"/>
      <c r="K6" s="1"/>
      <c r="L6" s="4"/>
      <c r="M6" s="4"/>
      <c r="N6" s="4"/>
      <c r="O6" s="4"/>
    </row>
    <row r="7" spans="1:15" ht="14.25" customHeight="1">
      <c r="A7" s="1"/>
      <c r="B7" s="6"/>
      <c r="C7" s="6"/>
      <c r="D7" s="6"/>
      <c r="E7" s="6"/>
      <c r="F7" s="6"/>
      <c r="G7" s="6"/>
      <c r="H7" s="6"/>
      <c r="I7" s="6"/>
      <c r="J7" s="7"/>
      <c r="K7" s="1"/>
      <c r="L7" s="4"/>
      <c r="M7" s="4"/>
      <c r="N7" s="4"/>
      <c r="O7" s="4"/>
    </row>
    <row r="8" spans="1:15" ht="14.25" customHeight="1">
      <c r="A8" s="1"/>
      <c r="B8" s="6"/>
      <c r="C8" s="6"/>
      <c r="D8" s="6"/>
      <c r="E8" s="6"/>
      <c r="F8" s="6"/>
      <c r="G8" s="6"/>
      <c r="H8" s="6"/>
      <c r="I8" s="6"/>
      <c r="J8" s="7"/>
      <c r="K8" s="1"/>
      <c r="L8" s="4"/>
      <c r="M8" s="4"/>
      <c r="N8" s="4"/>
      <c r="O8" s="4"/>
    </row>
    <row r="9" spans="1:15" ht="14.25" customHeight="1">
      <c r="A9" s="1"/>
      <c r="B9" s="6"/>
      <c r="C9" s="6"/>
      <c r="D9" s="6"/>
      <c r="E9" s="6"/>
      <c r="F9" s="6"/>
      <c r="G9" s="6"/>
      <c r="H9" s="6"/>
      <c r="I9" s="6"/>
      <c r="J9" s="7"/>
      <c r="K9" s="1"/>
      <c r="L9" s="4"/>
      <c r="M9" s="4"/>
      <c r="N9" s="4"/>
      <c r="O9" s="4"/>
    </row>
    <row r="10" spans="1:15" ht="14.25" customHeight="1">
      <c r="A10" s="1"/>
      <c r="B10" s="6"/>
      <c r="C10" s="6"/>
      <c r="D10" s="6"/>
      <c r="E10" s="6"/>
      <c r="F10" s="6"/>
      <c r="G10" s="6"/>
      <c r="H10" s="6"/>
      <c r="I10" s="6"/>
      <c r="J10" s="7"/>
      <c r="K10" s="1"/>
      <c r="L10" s="4"/>
      <c r="M10" s="4"/>
      <c r="N10" s="4"/>
      <c r="O10" s="4"/>
    </row>
    <row r="11" spans="1:15" ht="14.25" customHeight="1">
      <c r="A11" s="1"/>
      <c r="B11" s="6"/>
      <c r="C11" s="6"/>
      <c r="D11" s="6"/>
      <c r="E11" s="6"/>
      <c r="F11" s="6"/>
      <c r="G11" s="6"/>
      <c r="H11" s="6"/>
      <c r="I11" s="6"/>
      <c r="J11" s="7"/>
      <c r="K11" s="1"/>
      <c r="L11" s="4"/>
      <c r="M11" s="4"/>
      <c r="N11" s="4"/>
      <c r="O11" s="4"/>
    </row>
    <row r="12" spans="1:15" ht="14.25" customHeight="1">
      <c r="A12" s="1"/>
      <c r="B12" s="6"/>
      <c r="C12" s="6"/>
      <c r="D12" s="6"/>
      <c r="E12" s="6"/>
      <c r="F12" s="6"/>
      <c r="G12" s="6"/>
      <c r="H12" s="6"/>
      <c r="I12" s="6"/>
      <c r="J12" s="7"/>
      <c r="K12" s="1"/>
      <c r="L12" s="4"/>
      <c r="M12" s="4"/>
      <c r="N12" s="4"/>
      <c r="O12" s="4"/>
    </row>
    <row r="13" spans="1:15" ht="14.25" customHeight="1">
      <c r="A13" s="1"/>
      <c r="B13" s="6"/>
      <c r="C13" s="6"/>
      <c r="D13" s="6"/>
      <c r="E13" s="6"/>
      <c r="F13" s="6"/>
      <c r="G13" s="6"/>
      <c r="H13" s="6"/>
      <c r="I13" s="6"/>
      <c r="J13" s="7"/>
      <c r="K13" s="1"/>
      <c r="L13" s="4"/>
      <c r="M13" s="4"/>
      <c r="N13" s="4"/>
      <c r="O13" s="4"/>
    </row>
    <row r="14" spans="1:15" ht="14.25" customHeight="1">
      <c r="A14" s="1"/>
      <c r="B14" s="6"/>
      <c r="C14" s="6"/>
      <c r="D14" s="6"/>
      <c r="E14" s="6"/>
      <c r="F14" s="6"/>
      <c r="G14" s="6"/>
      <c r="H14" s="6"/>
      <c r="I14" s="6"/>
      <c r="J14" s="7"/>
      <c r="K14" s="1"/>
      <c r="L14" s="4"/>
      <c r="M14" s="4"/>
      <c r="N14" s="4"/>
      <c r="O14" s="4"/>
    </row>
    <row r="15" spans="1:15" ht="14.25" customHeight="1">
      <c r="A15" s="1"/>
      <c r="B15" s="6"/>
      <c r="C15" s="6"/>
      <c r="D15" s="6"/>
      <c r="E15" s="6"/>
      <c r="F15" s="6"/>
      <c r="G15" s="6"/>
      <c r="H15" s="6"/>
      <c r="I15" s="6"/>
      <c r="J15" s="7"/>
      <c r="K15" s="1"/>
      <c r="L15" s="4"/>
      <c r="M15" s="4"/>
      <c r="N15" s="4"/>
      <c r="O15" s="4"/>
    </row>
    <row r="16" spans="1:15" ht="14.25" customHeight="1">
      <c r="A16" s="1"/>
      <c r="B16" s="6"/>
      <c r="C16" s="6"/>
      <c r="D16" s="6"/>
      <c r="E16" s="6"/>
      <c r="F16" s="6"/>
      <c r="G16" s="6"/>
      <c r="H16" s="6"/>
      <c r="I16" s="6"/>
      <c r="J16" s="7"/>
      <c r="K16" s="1"/>
      <c r="L16" s="4"/>
      <c r="M16" s="4"/>
      <c r="N16" s="4"/>
      <c r="O16" s="4"/>
    </row>
    <row r="17" spans="1:15" ht="14.25" customHeight="1">
      <c r="A17" s="1"/>
      <c r="B17" s="6"/>
      <c r="C17" s="6"/>
      <c r="D17" s="6"/>
      <c r="E17" s="6"/>
      <c r="F17" s="6"/>
      <c r="G17" s="6"/>
      <c r="H17" s="6"/>
      <c r="I17" s="6"/>
      <c r="J17" s="7"/>
      <c r="K17" s="1"/>
      <c r="L17" s="4"/>
      <c r="M17" s="4"/>
      <c r="N17" s="4"/>
      <c r="O17" s="4"/>
    </row>
    <row r="18" spans="1:15" ht="14.25" customHeight="1">
      <c r="A18" s="1"/>
      <c r="B18" s="6"/>
      <c r="C18" s="6"/>
      <c r="D18" s="6"/>
      <c r="E18" s="6"/>
      <c r="F18" s="6"/>
      <c r="G18" s="6"/>
      <c r="H18" s="6"/>
      <c r="I18" s="6"/>
      <c r="J18" s="7"/>
      <c r="K18" s="1"/>
      <c r="L18" s="4"/>
      <c r="M18" s="4"/>
      <c r="N18" s="4"/>
      <c r="O18" s="4"/>
    </row>
    <row r="19" spans="1:15" ht="14.25" customHeight="1">
      <c r="A19" s="1"/>
      <c r="B19" s="6"/>
      <c r="C19" s="6"/>
      <c r="D19" s="6"/>
      <c r="E19" s="6"/>
      <c r="F19" s="6"/>
      <c r="G19" s="6"/>
      <c r="H19" s="6"/>
      <c r="I19" s="6"/>
      <c r="J19" s="7"/>
      <c r="K19" s="1"/>
      <c r="L19" s="4"/>
      <c r="M19" s="4"/>
      <c r="N19" s="4"/>
      <c r="O19" s="4"/>
    </row>
    <row r="20" spans="1:15" ht="14.25" customHeight="1">
      <c r="A20" s="1"/>
      <c r="B20" s="6"/>
      <c r="C20" s="6"/>
      <c r="D20" s="6"/>
      <c r="E20" s="6"/>
      <c r="F20" s="6"/>
      <c r="G20" s="6"/>
      <c r="H20" s="6"/>
      <c r="I20" s="6"/>
      <c r="J20" s="7"/>
      <c r="K20" s="1"/>
      <c r="L20" s="4"/>
      <c r="M20" s="4"/>
      <c r="N20" s="4"/>
      <c r="O20" s="4"/>
    </row>
    <row r="21" spans="1:15" ht="14.25" customHeight="1">
      <c r="A21" s="1"/>
      <c r="B21" s="6"/>
      <c r="C21" s="6"/>
      <c r="D21" s="6"/>
      <c r="E21" s="6"/>
      <c r="F21" s="6"/>
      <c r="G21" s="6"/>
      <c r="H21" s="6"/>
      <c r="I21" s="6"/>
      <c r="J21" s="7"/>
      <c r="K21" s="1"/>
      <c r="L21" s="4"/>
      <c r="M21" s="4"/>
      <c r="N21" s="4"/>
      <c r="O21" s="4"/>
    </row>
    <row r="22" spans="1:15" ht="14.25" customHeight="1">
      <c r="A22" s="1"/>
      <c r="B22" s="3"/>
      <c r="C22" s="3"/>
      <c r="D22" s="3"/>
      <c r="E22" s="3"/>
      <c r="F22" s="3"/>
      <c r="G22" s="3"/>
      <c r="H22" s="3"/>
      <c r="I22" s="3"/>
      <c r="J22" s="1"/>
      <c r="K22" s="1"/>
      <c r="L22" s="4"/>
      <c r="M22" s="4"/>
      <c r="N22" s="4"/>
      <c r="O22" s="4"/>
    </row>
    <row r="23" spans="1:15" ht="51" customHeight="1">
      <c r="A23" s="1"/>
      <c r="B23" s="31" t="str">
        <f ca="1">"US LevFin Pipeline — "&amp;TEXT(TODAY()+7,"MMMM YYYY")</f>
        <v>US LevFin Pipeline — August 2026</v>
      </c>
      <c r="C23" s="30"/>
      <c r="D23" s="30"/>
      <c r="E23" s="30"/>
      <c r="F23" s="30"/>
      <c r="G23" s="30"/>
      <c r="H23" s="30"/>
      <c r="I23" s="30"/>
      <c r="J23" s="30"/>
      <c r="K23" s="8"/>
      <c r="L23" s="4"/>
      <c r="M23" s="4"/>
      <c r="N23" s="4"/>
      <c r="O23" s="4"/>
    </row>
    <row r="24" spans="1:15" ht="18" hidden="1" outlineLevel="1">
      <c r="A24" s="1"/>
      <c r="B24" s="32" t="s">
        <v>4</v>
      </c>
      <c r="C24" s="30"/>
      <c r="D24" s="30"/>
      <c r="E24" s="30"/>
      <c r="F24" s="30"/>
      <c r="G24" s="30"/>
      <c r="H24" s="30"/>
      <c r="I24" s="30"/>
      <c r="J24" s="30"/>
      <c r="K24" s="8"/>
      <c r="L24" s="4"/>
      <c r="M24" s="4"/>
      <c r="N24" s="4"/>
      <c r="O24" s="4"/>
    </row>
    <row r="25" spans="1:15" ht="18" hidden="1" outlineLevel="1">
      <c r="A25" s="1"/>
      <c r="B25" s="4"/>
      <c r="C25" s="4"/>
      <c r="D25" s="4"/>
      <c r="E25" s="4"/>
      <c r="F25" s="4"/>
      <c r="G25" s="4"/>
      <c r="H25" s="4"/>
      <c r="I25" s="9"/>
      <c r="J25" s="9"/>
      <c r="K25" s="8"/>
      <c r="L25" s="4"/>
      <c r="M25" s="4"/>
      <c r="N25" s="4"/>
      <c r="O25" s="4"/>
    </row>
    <row r="26" spans="1:15" ht="18" collapsed="1">
      <c r="A26" s="1"/>
      <c r="B26" s="10" t="s">
        <v>1</v>
      </c>
      <c r="C26" s="10"/>
      <c r="D26" s="10"/>
      <c r="E26" s="10"/>
      <c r="F26" s="10"/>
      <c r="G26" s="10"/>
      <c r="H26" s="10"/>
      <c r="I26" s="11"/>
      <c r="J26" s="11"/>
      <c r="K26" s="8"/>
      <c r="L26" s="10"/>
      <c r="M26" s="10"/>
      <c r="N26" s="10"/>
      <c r="O26" s="10"/>
    </row>
    <row r="27" spans="1:15" ht="14.6">
      <c r="A27" s="1"/>
      <c r="B27" s="12" t="s">
        <v>5</v>
      </c>
      <c r="C27" s="12" t="s">
        <v>6</v>
      </c>
      <c r="D27" s="13" t="s">
        <v>7</v>
      </c>
      <c r="E27" s="12" t="s">
        <v>8</v>
      </c>
      <c r="F27" s="12" t="s">
        <v>9</v>
      </c>
      <c r="G27" s="12" t="s">
        <v>10</v>
      </c>
      <c r="H27" s="12" t="s">
        <v>11</v>
      </c>
      <c r="I27" s="13" t="s">
        <v>12</v>
      </c>
      <c r="J27" s="13" t="s">
        <v>13</v>
      </c>
      <c r="K27" s="8"/>
      <c r="L27" s="12" t="s">
        <v>14</v>
      </c>
      <c r="M27" s="12" t="s">
        <v>15</v>
      </c>
      <c r="N27" s="12" t="s">
        <v>16</v>
      </c>
      <c r="O27" s="12" t="s">
        <v>17</v>
      </c>
    </row>
    <row r="28" spans="1:15" ht="43.75">
      <c r="A28" s="1"/>
      <c r="B28" s="14" t="str">
        <f t="shared" ref="B28:B56" ca="1" si="0">HYPERLINK(M28,L28)</f>
        <v>CrossCountry</v>
      </c>
      <c r="C28" s="15" t="s">
        <v>18</v>
      </c>
      <c r="D28" s="15" t="s">
        <v>126</v>
      </c>
      <c r="E28" s="15"/>
      <c r="F28" s="15" t="s">
        <v>19</v>
      </c>
      <c r="G28" s="15" t="s">
        <v>352</v>
      </c>
      <c r="H28" s="15" t="s">
        <v>353</v>
      </c>
      <c r="I28" s="15" t="s">
        <v>354</v>
      </c>
      <c r="J28" s="14" t="str">
        <f t="shared" ref="J28:J56" ca="1" si="1">HYPERLINK(O28,N28)</f>
        <v>9fin</v>
      </c>
      <c r="K28" s="8"/>
      <c r="L28" s="16" t="str">
        <f ca="1">IFERROR(__xludf.DUMMYFUNCTION("query(sort(filter(Main!$C9:$V538,Main!$B9:$B538=""Confirmed Debt Financing""),1,false),""select Col3,Col4,Col15,Col16"")"),"CrossCountry")</f>
        <v>CrossCountry</v>
      </c>
      <c r="M28" s="17" t="str">
        <f ca="1">IFERROR(__xludf.DUMMYFUNCTION("""COMPUTED_VALUE"""),"https://9fin.com/company/CrossCountry/overview")</f>
        <v>https://9fin.com/company/CrossCountry/overview</v>
      </c>
      <c r="N28" s="16" t="str">
        <f ca="1">IFERROR(__xludf.DUMMYFUNCTION("""COMPUTED_VALUE"""),"9fin")</f>
        <v>9fin</v>
      </c>
      <c r="O28" s="17" t="str">
        <f ca="1">IFERROR(__xludf.DUMMYFUNCTION("""COMPUTED_VALUE"""),"https://9fin.com/news/682cfdc5-4e0f-4a32-92ea-db457841f6e8")</f>
        <v>https://9fin.com/news/682cfdc5-4e0f-4a32-92ea-db457841f6e8</v>
      </c>
    </row>
    <row r="29" spans="1:15" ht="29.15">
      <c r="A29" s="1"/>
      <c r="B29" s="14" t="str">
        <f t="shared" ca="1" si="0"/>
        <v>Integer Holdings</v>
      </c>
      <c r="C29" s="15" t="s">
        <v>37</v>
      </c>
      <c r="D29" s="15" t="s">
        <v>156</v>
      </c>
      <c r="E29" s="15" t="s">
        <v>357</v>
      </c>
      <c r="F29" s="15" t="s">
        <v>21</v>
      </c>
      <c r="G29" s="15" t="s">
        <v>24</v>
      </c>
      <c r="H29" s="15" t="s">
        <v>356</v>
      </c>
      <c r="I29" s="15" t="s">
        <v>358</v>
      </c>
      <c r="J29" s="14" t="str">
        <f t="shared" ca="1" si="1"/>
        <v>Press Release</v>
      </c>
      <c r="K29" s="8"/>
      <c r="L29" s="16" t="str">
        <f ca="1">IFERROR(__xludf.DUMMYFUNCTION("""COMPUTED_VALUE"""),"Integer Holdings")</f>
        <v>Integer Holdings</v>
      </c>
      <c r="M29" s="17" t="str">
        <f ca="1">IFERROR(__xludf.DUMMYFUNCTION("""COMPUTED_VALUE"""),"https://9fin.com/company/Integer%20Holdings/overview")</f>
        <v>https://9fin.com/company/Integer%20Holdings/overview</v>
      </c>
      <c r="N29" s="16" t="str">
        <f ca="1">IFERROR(__xludf.DUMMYFUNCTION("""COMPUTED_VALUE"""),"Press Release")</f>
        <v>Press Release</v>
      </c>
      <c r="O29" s="17" t="str">
        <f ca="1">IFERROR(__xludf.DUMMYFUNCTION("""COMPUTED_VALUE"""),"https://sec.9fin.com/Archives/edgar/data/1114483/000095010326011683/dp251107_ex9901.htm")</f>
        <v>https://sec.9fin.com/Archives/edgar/data/1114483/000095010326011683/dp251107_ex9901.htm</v>
      </c>
    </row>
    <row r="30" spans="1:15" ht="29.15">
      <c r="A30" s="1"/>
      <c r="B30" s="14" t="str">
        <f t="shared" ca="1" si="0"/>
        <v>Group 1 Automotive</v>
      </c>
      <c r="C30" s="15" t="s">
        <v>50</v>
      </c>
      <c r="D30" s="15" t="s">
        <v>156</v>
      </c>
      <c r="E30" s="15" t="s">
        <v>55</v>
      </c>
      <c r="F30" s="15" t="s">
        <v>19</v>
      </c>
      <c r="G30" s="15" t="s">
        <v>345</v>
      </c>
      <c r="H30" s="15" t="s">
        <v>346</v>
      </c>
      <c r="I30" s="15" t="s">
        <v>347</v>
      </c>
      <c r="J30" s="14" t="str">
        <f t="shared" ca="1" si="1"/>
        <v>Press Release</v>
      </c>
      <c r="K30" s="8"/>
      <c r="L30" s="16" t="str">
        <f ca="1">IFERROR(__xludf.DUMMYFUNCTION("""COMPUTED_VALUE"""),"Group 1 Automotive")</f>
        <v>Group 1 Automotive</v>
      </c>
      <c r="M30" s="17" t="str">
        <f ca="1">IFERROR(__xludf.DUMMYFUNCTION("""COMPUTED_VALUE"""),"https://9fin.com/company/Group%201%20Automotive/overview")</f>
        <v>https://9fin.com/company/Group%201%20Automotive/overview</v>
      </c>
      <c r="N30" s="16" t="str">
        <f ca="1">IFERROR(__xludf.DUMMYFUNCTION("""COMPUTED_VALUE"""),"Press Release")</f>
        <v>Press Release</v>
      </c>
      <c r="O30" s="17" t="str">
        <f ca="1">IFERROR(__xludf.DUMMYFUNCTION("""COMPUTED_VALUE"""),"https://www.prnewswire.com/news-releases/group-1-agrees-to-acquire-hennessy-automobile-dealerships-in-the-atlanta-market-to-advance-proven-cluster-strategy-302838323.html")</f>
        <v>https://www.prnewswire.com/news-releases/group-1-agrees-to-acquire-hennessy-automobile-dealerships-in-the-atlanta-market-to-advance-proven-cluster-strategy-302838323.html</v>
      </c>
    </row>
    <row r="31" spans="1:15" ht="14.6">
      <c r="A31" s="1"/>
      <c r="B31" s="14" t="str">
        <f t="shared" ca="1" si="0"/>
        <v>PANTHERx Rare</v>
      </c>
      <c r="C31" s="15" t="s">
        <v>54</v>
      </c>
      <c r="D31" s="15" t="s">
        <v>110</v>
      </c>
      <c r="E31" s="15" t="s">
        <v>71</v>
      </c>
      <c r="F31" s="15" t="s">
        <v>21</v>
      </c>
      <c r="G31" s="15" t="s">
        <v>102</v>
      </c>
      <c r="H31" s="15" t="s">
        <v>298</v>
      </c>
      <c r="I31" s="15" t="s">
        <v>299</v>
      </c>
      <c r="J31" s="14" t="str">
        <f t="shared" ca="1" si="1"/>
        <v>9fin</v>
      </c>
      <c r="K31" s="8"/>
      <c r="L31" s="16" t="str">
        <f ca="1">IFERROR(__xludf.DUMMYFUNCTION("""COMPUTED_VALUE"""),"PANTHERx Rare")</f>
        <v>PANTHERx Rare</v>
      </c>
      <c r="M31" s="17" t="str">
        <f ca="1">IFERROR(__xludf.DUMMYFUNCTION("""COMPUTED_VALUE"""),"https://9fin.com/company/PANTHERx%20Rare/overview")</f>
        <v>https://9fin.com/company/PANTHERx%20Rare/overview</v>
      </c>
      <c r="N31" s="16" t="str">
        <f ca="1">IFERROR(__xludf.DUMMYFUNCTION("""COMPUTED_VALUE"""),"9fin")</f>
        <v>9fin</v>
      </c>
      <c r="O31" s="17" t="str">
        <f ca="1">IFERROR(__xludf.DUMMYFUNCTION("""COMPUTED_VALUE"""),"https://9fin.com/news/jpm-goldman-prep-financing-for-warburg-lbo-of-pantherx-rare-9fin-2026-07-15")</f>
        <v>https://9fin.com/news/jpm-goldman-prep-financing-for-warburg-lbo-of-pantherx-rare-9fin-2026-07-15</v>
      </c>
    </row>
    <row r="32" spans="1:15" ht="29.15">
      <c r="A32" s="1"/>
      <c r="B32" s="14" t="str">
        <f t="shared" ca="1" si="0"/>
        <v>BGIS</v>
      </c>
      <c r="C32" s="15" t="s">
        <v>41</v>
      </c>
      <c r="D32" s="15" t="s">
        <v>156</v>
      </c>
      <c r="E32" s="15"/>
      <c r="F32" s="15" t="s">
        <v>21</v>
      </c>
      <c r="G32" s="15" t="s">
        <v>66</v>
      </c>
      <c r="H32" s="15" t="s">
        <v>300</v>
      </c>
      <c r="I32" s="15" t="s">
        <v>301</v>
      </c>
      <c r="J32" s="14" t="str">
        <f t="shared" ca="1" si="1"/>
        <v>9fin</v>
      </c>
      <c r="K32" s="8"/>
      <c r="L32" s="16" t="str">
        <f ca="1">IFERROR(__xludf.DUMMYFUNCTION("""COMPUTED_VALUE"""),"BGIS")</f>
        <v>BGIS</v>
      </c>
      <c r="M32" s="17" t="str">
        <f ca="1">IFERROR(__xludf.DUMMYFUNCTION("""COMPUTED_VALUE"""),"https://9fin.com/company/BGIS/overview")</f>
        <v>https://9fin.com/company/BGIS/overview</v>
      </c>
      <c r="N32" s="16" t="str">
        <f ca="1">IFERROR(__xludf.DUMMYFUNCTION("""COMPUTED_VALUE"""),"9fin")</f>
        <v>9fin</v>
      </c>
      <c r="O32" s="17" t="str">
        <f ca="1">IFERROR(__xludf.DUMMYFUNCTION("""COMPUTED_VALUE"""),"https://9fin.com/news/citi-to-lead-financing-for-veritas-bgis-buyout-9fin-2026-07-21")</f>
        <v>https://9fin.com/news/citi-to-lead-financing-for-veritas-bgis-buyout-9fin-2026-07-21</v>
      </c>
    </row>
    <row r="33" spans="1:15" ht="29.15">
      <c r="A33" s="1"/>
      <c r="B33" s="14" t="str">
        <f t="shared" ca="1" si="0"/>
        <v>Solstice Advanced Materials</v>
      </c>
      <c r="C33" s="15" t="s">
        <v>68</v>
      </c>
      <c r="D33" s="15" t="s">
        <v>192</v>
      </c>
      <c r="E33" s="15" t="s">
        <v>296</v>
      </c>
      <c r="F33" s="15" t="s">
        <v>19</v>
      </c>
      <c r="G33" s="15" t="s">
        <v>295</v>
      </c>
      <c r="H33" s="15" t="s">
        <v>67</v>
      </c>
      <c r="I33" s="15" t="s">
        <v>297</v>
      </c>
      <c r="J33" s="14" t="str">
        <f t="shared" ca="1" si="1"/>
        <v>Press Release</v>
      </c>
      <c r="K33" s="8"/>
      <c r="L33" s="16" t="str">
        <f ca="1">IFERROR(__xludf.DUMMYFUNCTION("""COMPUTED_VALUE"""),"Solstice Advanced Materials")</f>
        <v>Solstice Advanced Materials</v>
      </c>
      <c r="M33" s="17" t="str">
        <f ca="1">IFERROR(__xludf.DUMMYFUNCTION("""COMPUTED_VALUE"""),"https://9fin.com/company/Solstice%20Advanced%20Materials/overview")</f>
        <v>https://9fin.com/company/Solstice%20Advanced%20Materials/overview</v>
      </c>
      <c r="N33" s="16" t="str">
        <f ca="1">IFERROR(__xludf.DUMMYFUNCTION("""COMPUTED_VALUE"""),"Press Release")</f>
        <v>Press Release</v>
      </c>
      <c r="O33" s="17" t="str">
        <f ca="1">IFERROR(__xludf.DUMMYFUNCTION("""COMPUTED_VALUE"""),"https://www.prnewswire.com/news-releases/solstice-advanced-materials-to-acquire-element-solutions-creating-an-industry-leading-advanced-materials-platform-aligned-to-serving-attractive-secular-growth-markets-302818329.html")</f>
        <v>https://www.prnewswire.com/news-releases/solstice-advanced-materials-to-acquire-element-solutions-creating-an-industry-leading-advanced-materials-platform-aligned-to-serving-attractive-secular-growth-markets-302818329.html</v>
      </c>
    </row>
    <row r="34" spans="1:15" ht="43.75">
      <c r="A34" s="1"/>
      <c r="B34" s="14" t="str">
        <f t="shared" ca="1" si="0"/>
        <v>Alcoa</v>
      </c>
      <c r="C34" s="15" t="s">
        <v>70</v>
      </c>
      <c r="D34" s="15" t="s">
        <v>192</v>
      </c>
      <c r="E34" s="15" t="s">
        <v>144</v>
      </c>
      <c r="F34" s="15" t="s">
        <v>19</v>
      </c>
      <c r="G34" s="15" t="s">
        <v>292</v>
      </c>
      <c r="H34" s="15" t="s">
        <v>293</v>
      </c>
      <c r="I34" s="15" t="s">
        <v>294</v>
      </c>
      <c r="J34" s="14" t="str">
        <f t="shared" ca="1" si="1"/>
        <v>Press Release</v>
      </c>
      <c r="K34" s="8"/>
      <c r="L34" s="16" t="str">
        <f ca="1">IFERROR(__xludf.DUMMYFUNCTION("""COMPUTED_VALUE"""),"Alcoa")</f>
        <v>Alcoa</v>
      </c>
      <c r="M34" s="17" t="str">
        <f ca="1">IFERROR(__xludf.DUMMYFUNCTION("""COMPUTED_VALUE"""),"https://9fin.com/company/Alcoa/overview")</f>
        <v>https://9fin.com/company/Alcoa/overview</v>
      </c>
      <c r="N34" s="16" t="str">
        <f ca="1">IFERROR(__xludf.DUMMYFUNCTION("""COMPUTED_VALUE"""),"Press Release")</f>
        <v>Press Release</v>
      </c>
      <c r="O34" s="17" t="str">
        <f ca="1">IFERROR(__xludf.DUMMYFUNCTION("""COMPUTED_VALUE"""),"https://sec.9fin.com/Archives/edgar/data/1675149/000095010326009899/dp249366_8k-pr.htm")</f>
        <v>https://sec.9fin.com/Archives/edgar/data/1675149/000095010326009899/dp249366_8k-pr.htm</v>
      </c>
    </row>
    <row r="35" spans="1:15" ht="43.75">
      <c r="A35" s="1"/>
      <c r="B35" s="18" t="str">
        <f t="shared" ca="1" si="0"/>
        <v>Rocket Lab</v>
      </c>
      <c r="C35" s="15" t="s">
        <v>44</v>
      </c>
      <c r="D35" s="15" t="s">
        <v>244</v>
      </c>
      <c r="E35" s="15" t="s">
        <v>245</v>
      </c>
      <c r="F35" s="15" t="s">
        <v>19</v>
      </c>
      <c r="G35" s="15" t="s">
        <v>243</v>
      </c>
      <c r="H35" s="15" t="s">
        <v>246</v>
      </c>
      <c r="I35" s="15" t="s">
        <v>247</v>
      </c>
      <c r="J35" s="14" t="str">
        <f t="shared" ca="1" si="1"/>
        <v>Press Release</v>
      </c>
      <c r="K35" s="8"/>
      <c r="L35" s="16" t="str">
        <f ca="1">IFERROR(__xludf.DUMMYFUNCTION("""COMPUTED_VALUE"""),"Rocket Lab")</f>
        <v>Rocket Lab</v>
      </c>
      <c r="M35" s="16"/>
      <c r="N35" s="16" t="str">
        <f ca="1">IFERROR(__xludf.DUMMYFUNCTION("""COMPUTED_VALUE"""),"Press Release")</f>
        <v>Press Release</v>
      </c>
      <c r="O35" s="17" t="str">
        <f ca="1">IFERROR(__xludf.DUMMYFUNCTION("""COMPUTED_VALUE"""),"https://investors.rocketlabcorp.com/news-releases/news-release-details/rocket-lab-acquire-iridium-historic-deal-creating-fully")</f>
        <v>https://investors.rocketlabcorp.com/news-releases/news-release-details/rocket-lab-acquire-iridium-historic-deal-creating-fully</v>
      </c>
    </row>
    <row r="36" spans="1:15" ht="29.15">
      <c r="A36" s="1"/>
      <c r="B36" s="14" t="str">
        <f t="shared" ca="1" si="0"/>
        <v>Matador Resources</v>
      </c>
      <c r="C36" s="15" t="s">
        <v>48</v>
      </c>
      <c r="D36" s="15" t="s">
        <v>126</v>
      </c>
      <c r="E36" s="15" t="s">
        <v>263</v>
      </c>
      <c r="F36" s="15" t="s">
        <v>19</v>
      </c>
      <c r="G36" s="15" t="s">
        <v>58</v>
      </c>
      <c r="H36" s="15" t="s">
        <v>264</v>
      </c>
      <c r="I36" s="15" t="s">
        <v>265</v>
      </c>
      <c r="J36" s="14" t="str">
        <f t="shared" ca="1" si="1"/>
        <v>Press Release</v>
      </c>
      <c r="K36" s="8"/>
      <c r="L36" s="16" t="str">
        <f ca="1">IFERROR(__xludf.DUMMYFUNCTION("""COMPUTED_VALUE"""),"Matador Resources")</f>
        <v>Matador Resources</v>
      </c>
      <c r="M36" s="17" t="str">
        <f ca="1">IFERROR(__xludf.DUMMYFUNCTION("""COMPUTED_VALUE"""),"https://9fin.com/company/Matador%20Resources/overview")</f>
        <v>https://9fin.com/company/Matador%20Resources/overview</v>
      </c>
      <c r="N36" s="16" t="str">
        <f ca="1">IFERROR(__xludf.DUMMYFUNCTION("""COMPUTED_VALUE"""),"Press Release")</f>
        <v>Press Release</v>
      </c>
      <c r="O36" s="17" t="str">
        <f ca="1">IFERROR(__xludf.DUMMYFUNCTION("""COMPUTED_VALUE"""),"https://www.matadorresources.com/news-releases/news-release-details/matador-resources-company-announces-expansion-san-mateos")</f>
        <v>https://www.matadorresources.com/news-releases/news-release-details/matador-resources-company-announces-expansion-san-mateos</v>
      </c>
    </row>
    <row r="37" spans="1:15" ht="29.15">
      <c r="A37" s="1"/>
      <c r="B37" s="14" t="str">
        <f t="shared" ca="1" si="0"/>
        <v>H.B. Fuller</v>
      </c>
      <c r="C37" s="15" t="s">
        <v>36</v>
      </c>
      <c r="D37" s="15" t="s">
        <v>156</v>
      </c>
      <c r="E37" s="15" t="s">
        <v>257</v>
      </c>
      <c r="F37" s="15" t="s">
        <v>19</v>
      </c>
      <c r="G37" s="15" t="s">
        <v>256</v>
      </c>
      <c r="H37" s="15" t="s">
        <v>258</v>
      </c>
      <c r="I37" s="15" t="s">
        <v>259</v>
      </c>
      <c r="J37" s="14" t="str">
        <f t="shared" ca="1" si="1"/>
        <v>Press Release</v>
      </c>
      <c r="K37" s="8"/>
      <c r="L37" s="16" t="str">
        <f ca="1">IFERROR(__xludf.DUMMYFUNCTION("""COMPUTED_VALUE"""),"H.B. Fuller")</f>
        <v>H.B. Fuller</v>
      </c>
      <c r="M37" s="17" t="str">
        <f ca="1">IFERROR(__xludf.DUMMYFUNCTION("""COMPUTED_VALUE"""),"https://9fin.com/company/H.B.%20Fuller/overview")</f>
        <v>https://9fin.com/company/H.B.%20Fuller/overview</v>
      </c>
      <c r="N37" s="16" t="str">
        <f ca="1">IFERROR(__xludf.DUMMYFUNCTION("""COMPUTED_VALUE"""),"Press Release")</f>
        <v>Press Release</v>
      </c>
      <c r="O37" s="17" t="str">
        <f ca="1">IFERROR(__xludf.DUMMYFUNCTION("""COMPUTED_VALUE"""),"https://sec.9fin.com/Archives/edgar/data/39368/000143774926021844/ex_981232.htm")</f>
        <v>https://sec.9fin.com/Archives/edgar/data/39368/000143774926021844/ex_981232.htm</v>
      </c>
    </row>
    <row r="38" spans="1:15" ht="29.15">
      <c r="A38" s="1"/>
      <c r="B38" s="14" t="str">
        <f t="shared" ca="1" si="0"/>
        <v>MDA Space</v>
      </c>
      <c r="C38" s="15" t="s">
        <v>36</v>
      </c>
      <c r="D38" s="15" t="s">
        <v>156</v>
      </c>
      <c r="E38" s="15" t="s">
        <v>138</v>
      </c>
      <c r="F38" s="15" t="s">
        <v>19</v>
      </c>
      <c r="G38" s="15" t="s">
        <v>271</v>
      </c>
      <c r="H38" s="15" t="s">
        <v>272</v>
      </c>
      <c r="I38" s="15" t="s">
        <v>273</v>
      </c>
      <c r="J38" s="14" t="str">
        <f t="shared" ca="1" si="1"/>
        <v>Press Release</v>
      </c>
      <c r="K38" s="19"/>
      <c r="L38" s="20" t="str">
        <f ca="1">IFERROR(__xludf.DUMMYFUNCTION("""COMPUTED_VALUE"""),"MDA Space")</f>
        <v>MDA Space</v>
      </c>
      <c r="M38" s="21" t="str">
        <f ca="1">IFERROR(__xludf.DUMMYFUNCTION("""COMPUTED_VALUE"""),"https://9fin.com/company/MDA%20Space/overview")</f>
        <v>https://9fin.com/company/MDA%20Space/overview</v>
      </c>
      <c r="N38" s="20" t="str">
        <f ca="1">IFERROR(__xludf.DUMMYFUNCTION("""COMPUTED_VALUE"""),"Press Release")</f>
        <v>Press Release</v>
      </c>
      <c r="O38" s="21" t="str">
        <f ca="1">IFERROR(__xludf.DUMMYFUNCTION("""COMPUTED_VALUE"""),"https://www.prnewswire.com/news-releases/mda-space-announces-definitive-agreement-to-acquire-us-based-blue-canyon-technologies-llc-302805305.html")</f>
        <v>https://www.prnewswire.com/news-releases/mda-space-announces-definitive-agreement-to-acquire-us-based-blue-canyon-technologies-llc-302805305.html</v>
      </c>
    </row>
    <row r="39" spans="1:15" ht="29.15">
      <c r="A39" s="1"/>
      <c r="B39" s="14" t="str">
        <f t="shared" ca="1" si="0"/>
        <v>Deluxe Corporation</v>
      </c>
      <c r="C39" s="15" t="s">
        <v>44</v>
      </c>
      <c r="D39" s="15" t="s">
        <v>126</v>
      </c>
      <c r="E39" s="15" t="s">
        <v>85</v>
      </c>
      <c r="F39" s="15" t="s">
        <v>19</v>
      </c>
      <c r="G39" s="15" t="s">
        <v>274</v>
      </c>
      <c r="H39" s="15" t="s">
        <v>275</v>
      </c>
      <c r="I39" s="15" t="s">
        <v>276</v>
      </c>
      <c r="J39" s="14" t="str">
        <f t="shared" ca="1" si="1"/>
        <v>Press Release</v>
      </c>
      <c r="K39" s="19"/>
      <c r="L39" s="20" t="str">
        <f ca="1">IFERROR(__xludf.DUMMYFUNCTION("""COMPUTED_VALUE"""),"Deluxe Corporation")</f>
        <v>Deluxe Corporation</v>
      </c>
      <c r="M39" s="21" t="str">
        <f ca="1">IFERROR(__xludf.DUMMYFUNCTION("""COMPUTED_VALUE"""),"https://9fin.com/company/Deluxe%20Corporation/overview")</f>
        <v>https://9fin.com/company/Deluxe%20Corporation/overview</v>
      </c>
      <c r="N39" s="20" t="str">
        <f ca="1">IFERROR(__xludf.DUMMYFUNCTION("""COMPUTED_VALUE"""),"Press Release")</f>
        <v>Press Release</v>
      </c>
      <c r="O39" s="21" t="str">
        <f ca="1">IFERROR(__xludf.DUMMYFUNCTION("""COMPUTED_VALUE"""),"https://sec.9fin.com/Archives/edgar/data/27996/000110465926075414/tm2618004d1_ex99-1.htm")</f>
        <v>https://sec.9fin.com/Archives/edgar/data/27996/000110465926075414/tm2618004d1_ex99-1.htm</v>
      </c>
    </row>
    <row r="40" spans="1:15" ht="43.75">
      <c r="A40" s="1"/>
      <c r="B40" s="14" t="str">
        <f t="shared" ca="1" si="0"/>
        <v>Nuvei</v>
      </c>
      <c r="C40" s="15" t="s">
        <v>18</v>
      </c>
      <c r="D40" s="15" t="s">
        <v>244</v>
      </c>
      <c r="E40" s="15" t="s">
        <v>251</v>
      </c>
      <c r="F40" s="15" t="s">
        <v>19</v>
      </c>
      <c r="G40" s="15" t="s">
        <v>84</v>
      </c>
      <c r="H40" s="15" t="s">
        <v>252</v>
      </c>
      <c r="I40" s="15" t="s">
        <v>253</v>
      </c>
      <c r="J40" s="14" t="str">
        <f t="shared" ca="1" si="1"/>
        <v>9fin</v>
      </c>
      <c r="K40" s="19"/>
      <c r="L40" s="20" t="str">
        <f ca="1">IFERROR(__xludf.DUMMYFUNCTION("""COMPUTED_VALUE"""),"Nuvei")</f>
        <v>Nuvei</v>
      </c>
      <c r="M40" s="21" t="str">
        <f ca="1">IFERROR(__xludf.DUMMYFUNCTION("""COMPUTED_VALUE"""),"https://9fin.com/company/Nuvei/overview")</f>
        <v>https://9fin.com/company/Nuvei/overview</v>
      </c>
      <c r="N40" s="20" t="str">
        <f ca="1">IFERROR(__xludf.DUMMYFUNCTION("""COMPUTED_VALUE"""),"9fin")</f>
        <v>9fin</v>
      </c>
      <c r="O40" s="21" t="str">
        <f ca="1">IFERROR(__xludf.DUMMYFUNCTION("""COMPUTED_VALUE"""),"https://9fin.com/news/bmo-to-lead-financing-for-payoneer-take-private-9fin-2026-07-17")</f>
        <v>https://9fin.com/news/bmo-to-lead-financing-for-payoneer-take-private-9fin-2026-07-17</v>
      </c>
    </row>
    <row r="41" spans="1:15" ht="29.15">
      <c r="A41" s="1"/>
      <c r="B41" s="14" t="str">
        <f t="shared" ca="1" si="0"/>
        <v>Knack RCM</v>
      </c>
      <c r="C41" s="15" t="s">
        <v>22</v>
      </c>
      <c r="D41" s="15" t="s">
        <v>30</v>
      </c>
      <c r="E41" s="15"/>
      <c r="F41" s="15" t="s">
        <v>19</v>
      </c>
      <c r="G41" s="15" t="s">
        <v>238</v>
      </c>
      <c r="H41" s="15" t="s">
        <v>239</v>
      </c>
      <c r="I41" s="15" t="s">
        <v>240</v>
      </c>
      <c r="J41" s="14" t="str">
        <f t="shared" ca="1" si="1"/>
        <v>9fin</v>
      </c>
      <c r="K41" s="19"/>
      <c r="L41" s="20" t="str">
        <f ca="1">IFERROR(__xludf.DUMMYFUNCTION("""COMPUTED_VALUE"""),"Knack RCM")</f>
        <v>Knack RCM</v>
      </c>
      <c r="M41" s="21" t="str">
        <f ca="1">IFERROR(__xludf.DUMMYFUNCTION("""COMPUTED_VALUE"""),"https://9fin.com/company/Knack%20RCM/overview")</f>
        <v>https://9fin.com/company/Knack%20RCM/overview</v>
      </c>
      <c r="N41" s="20" t="str">
        <f ca="1">IFERROR(__xludf.DUMMYFUNCTION("""COMPUTED_VALUE"""),"9fin")</f>
        <v>9fin</v>
      </c>
      <c r="O41" s="21" t="str">
        <f ca="1">IFERROR(__xludf.DUMMYFUNCTION("""COMPUTED_VALUE"""),"https://9fin.com/news/b093bee8-5f1d-4e3d-88f7-5921cca2ace3")</f>
        <v>https://9fin.com/news/b093bee8-5f1d-4e3d-88f7-5921cca2ace3</v>
      </c>
    </row>
    <row r="42" spans="1:15" ht="29.15">
      <c r="A42" s="1"/>
      <c r="B42" s="14" t="str">
        <f t="shared" ca="1" si="0"/>
        <v>Lattice Semiconductor</v>
      </c>
      <c r="C42" s="15" t="s">
        <v>36</v>
      </c>
      <c r="D42" s="15" t="s">
        <v>126</v>
      </c>
      <c r="E42" s="15" t="s">
        <v>232</v>
      </c>
      <c r="F42" s="15" t="s">
        <v>19</v>
      </c>
      <c r="G42" s="15" t="s">
        <v>231</v>
      </c>
      <c r="H42" s="15" t="s">
        <v>233</v>
      </c>
      <c r="I42" s="15" t="s">
        <v>234</v>
      </c>
      <c r="J42" s="14" t="str">
        <f t="shared" ca="1" si="1"/>
        <v>Press Release</v>
      </c>
      <c r="K42" s="19"/>
      <c r="L42" s="20" t="str">
        <f ca="1">IFERROR(__xludf.DUMMYFUNCTION("""COMPUTED_VALUE"""),"Lattice Semiconductor")</f>
        <v>Lattice Semiconductor</v>
      </c>
      <c r="M42" s="21" t="str">
        <f ca="1">IFERROR(__xludf.DUMMYFUNCTION("""COMPUTED_VALUE"""),"https://9fin.com/company/Lattice%20Semiconductor/overview")</f>
        <v>https://9fin.com/company/Lattice%20Semiconductor/overview</v>
      </c>
      <c r="N42" s="20" t="str">
        <f ca="1">IFERROR(__xludf.DUMMYFUNCTION("""COMPUTED_VALUE"""),"Press Release")</f>
        <v>Press Release</v>
      </c>
      <c r="O42" s="21" t="str">
        <f ca="1">IFERROR(__xludf.DUMMYFUNCTION("""COMPUTED_VALUE"""),"https://sec.9fin.com/Archives/edgar/data/855658/000143774926014686/lscc20260404_10q.htm")</f>
        <v>https://sec.9fin.com/Archives/edgar/data/855658/000143774926014686/lscc20260404_10q.htm</v>
      </c>
    </row>
    <row r="43" spans="1:15" ht="14.6">
      <c r="A43" s="1"/>
      <c r="B43" s="18" t="str">
        <f t="shared" ca="1" si="0"/>
        <v>The Real Brokerage</v>
      </c>
      <c r="C43" s="15" t="s">
        <v>41</v>
      </c>
      <c r="D43" s="15" t="s">
        <v>110</v>
      </c>
      <c r="E43" s="15" t="s">
        <v>207</v>
      </c>
      <c r="F43" s="15" t="s">
        <v>19</v>
      </c>
      <c r="G43" s="15" t="s">
        <v>206</v>
      </c>
      <c r="H43" s="15" t="s">
        <v>208</v>
      </c>
      <c r="I43" s="15" t="s">
        <v>209</v>
      </c>
      <c r="J43" s="14" t="str">
        <f t="shared" ca="1" si="1"/>
        <v>Press Release</v>
      </c>
      <c r="K43" s="19"/>
      <c r="L43" s="20" t="str">
        <f ca="1">IFERROR(__xludf.DUMMYFUNCTION("""COMPUTED_VALUE"""),"The Real Brokerage")</f>
        <v>The Real Brokerage</v>
      </c>
      <c r="M43" s="20"/>
      <c r="N43" s="20" t="str">
        <f ca="1">IFERROR(__xludf.DUMMYFUNCTION("""COMPUTED_VALUE"""),"Press Release")</f>
        <v>Press Release</v>
      </c>
      <c r="O43" s="21" t="str">
        <f ca="1">IFERROR(__xludf.DUMMYFUNCTION("""COMPUTED_VALUE"""),"https://www.businesswire.com/news/home/20260426359658/en/Real-to-Acquire-REMAX-Creating-a-Leading-Technology-Enabled-Global-Real-Estate-Platform")</f>
        <v>https://www.businesswire.com/news/home/20260426359658/en/Real-to-Acquire-REMAX-Creating-a-Leading-Technology-Enabled-Global-Real-Estate-Platform</v>
      </c>
    </row>
    <row r="44" spans="1:15" ht="29.15">
      <c r="A44" s="1"/>
      <c r="B44" s="18" t="str">
        <f t="shared" ca="1" si="0"/>
        <v>Brady Corp</v>
      </c>
      <c r="C44" s="15" t="s">
        <v>36</v>
      </c>
      <c r="D44" s="15" t="s">
        <v>30</v>
      </c>
      <c r="E44" s="15" t="s">
        <v>56</v>
      </c>
      <c r="F44" s="15" t="s">
        <v>19</v>
      </c>
      <c r="G44" s="15" t="s">
        <v>222</v>
      </c>
      <c r="H44" s="15" t="s">
        <v>223</v>
      </c>
      <c r="I44" s="15" t="s">
        <v>224</v>
      </c>
      <c r="J44" s="14" t="str">
        <f t="shared" ca="1" si="1"/>
        <v>Bloomberg</v>
      </c>
      <c r="K44" s="19"/>
      <c r="L44" s="20" t="str">
        <f ca="1">IFERROR(__xludf.DUMMYFUNCTION("""COMPUTED_VALUE"""),"Brady Corp")</f>
        <v>Brady Corp</v>
      </c>
      <c r="M44" s="20"/>
      <c r="N44" s="20" t="str">
        <f ca="1">IFERROR(__xludf.DUMMYFUNCTION("""COMPUTED_VALUE"""),"Bloomberg")</f>
        <v>Bloomberg</v>
      </c>
      <c r="O44" s="21" t="str">
        <f ca="1">IFERROR(__xludf.DUMMYFUNCTION("""COMPUTED_VALUE"""),"https://www.bloomberg.com/news/articles/2026-04-27/banks-to-join-bmo-led-1-8-billion-debt-deal-for-honeywell-spinoff")</f>
        <v>https://www.bloomberg.com/news/articles/2026-04-27/banks-to-join-bmo-led-1-8-billion-debt-deal-for-honeywell-spinoff</v>
      </c>
    </row>
    <row r="45" spans="1:15" ht="29.15">
      <c r="A45" s="1"/>
      <c r="B45" s="18" t="str">
        <f t="shared" ca="1" si="0"/>
        <v>Whitestone REIT</v>
      </c>
      <c r="C45" s="15" t="s">
        <v>41</v>
      </c>
      <c r="D45" s="15" t="s">
        <v>126</v>
      </c>
      <c r="E45" s="15" t="s">
        <v>42</v>
      </c>
      <c r="F45" s="15" t="s">
        <v>21</v>
      </c>
      <c r="G45" s="15" t="s">
        <v>92</v>
      </c>
      <c r="H45" s="15" t="s">
        <v>210</v>
      </c>
      <c r="I45" s="15" t="s">
        <v>211</v>
      </c>
      <c r="J45" s="14" t="str">
        <f t="shared" ca="1" si="1"/>
        <v>Press Release</v>
      </c>
      <c r="K45" s="19"/>
      <c r="L45" s="20" t="str">
        <f ca="1">IFERROR(__xludf.DUMMYFUNCTION("""COMPUTED_VALUE"""),"Whitestone REIT")</f>
        <v>Whitestone REIT</v>
      </c>
      <c r="M45" s="20"/>
      <c r="N45" s="20" t="str">
        <f ca="1">IFERROR(__xludf.DUMMYFUNCTION("""COMPUTED_VALUE"""),"Press Release")</f>
        <v>Press Release</v>
      </c>
      <c r="O45" s="21" t="str">
        <f ca="1">IFERROR(__xludf.DUMMYFUNCTION("""COMPUTED_VALUE"""),"https://ir.aresmgmt.com/news/whitestone-reit-to-be-acquired-by-ares-for-dollar17-billion/23f560f3-d09b-4680-84f9-692c6effb29a")</f>
        <v>https://ir.aresmgmt.com/news/whitestone-reit-to-be-acquired-by-ares-for-dollar17-billion/23f560f3-d09b-4680-84f9-692c6effb29a</v>
      </c>
    </row>
    <row r="46" spans="1:15" ht="14.6">
      <c r="A46" s="1"/>
      <c r="B46" s="14" t="str">
        <f t="shared" ca="1" si="0"/>
        <v>Fertitta Entertainment</v>
      </c>
      <c r="C46" s="15" t="s">
        <v>26</v>
      </c>
      <c r="D46" s="15" t="s">
        <v>30</v>
      </c>
      <c r="E46" s="15" t="s">
        <v>189</v>
      </c>
      <c r="F46" s="15" t="s">
        <v>19</v>
      </c>
      <c r="G46" s="15" t="s">
        <v>188</v>
      </c>
      <c r="H46" s="15" t="s">
        <v>190</v>
      </c>
      <c r="I46" s="15" t="s">
        <v>191</v>
      </c>
      <c r="J46" s="14" t="str">
        <f t="shared" ca="1" si="1"/>
        <v>9fin</v>
      </c>
      <c r="K46" s="19"/>
      <c r="L46" s="20" t="str">
        <f ca="1">IFERROR(__xludf.DUMMYFUNCTION("""COMPUTED_VALUE"""),"Fertitta Entertainment")</f>
        <v>Fertitta Entertainment</v>
      </c>
      <c r="M46" s="21" t="str">
        <f ca="1">IFERROR(__xludf.DUMMYFUNCTION("""COMPUTED_VALUE"""),"https://9fin.com/company/Fertitta%20Entertainment/overview")</f>
        <v>https://9fin.com/company/Fertitta%20Entertainment/overview</v>
      </c>
      <c r="N46" s="20" t="str">
        <f ca="1">IFERROR(__xludf.DUMMYFUNCTION("""COMPUTED_VALUE"""),"9fin")</f>
        <v>9fin</v>
      </c>
      <c r="O46" s="21" t="str">
        <f ca="1">IFERROR(__xludf.DUMMYFUNCTION("""COMPUTED_VALUE"""),"https://9fin.com/news/15333780-3928-4008-99bd-f3dde82ddc85")</f>
        <v>https://9fin.com/news/15333780-3928-4008-99bd-f3dde82ddc85</v>
      </c>
    </row>
    <row r="47" spans="1:15" ht="43.75">
      <c r="A47" s="1"/>
      <c r="B47" s="14" t="str">
        <f t="shared" ca="1" si="0"/>
        <v>Star Bulk</v>
      </c>
      <c r="C47" s="15" t="s">
        <v>34</v>
      </c>
      <c r="D47" s="15" t="s">
        <v>30</v>
      </c>
      <c r="E47" s="15" t="s">
        <v>196</v>
      </c>
      <c r="F47" s="15" t="s">
        <v>19</v>
      </c>
      <c r="G47" s="15" t="s">
        <v>197</v>
      </c>
      <c r="H47" s="15" t="s">
        <v>198</v>
      </c>
      <c r="I47" s="15" t="s">
        <v>199</v>
      </c>
      <c r="J47" s="14" t="str">
        <f t="shared" ca="1" si="1"/>
        <v>Press Release</v>
      </c>
      <c r="K47" s="19"/>
      <c r="L47" s="20" t="str">
        <f ca="1">IFERROR(__xludf.DUMMYFUNCTION("""COMPUTED_VALUE"""),"Star Bulk")</f>
        <v>Star Bulk</v>
      </c>
      <c r="M47" s="21" t="str">
        <f ca="1">IFERROR(__xludf.DUMMYFUNCTION("""COMPUTED_VALUE"""),"https://9fin.com/company/Star%20Bulk/overview")</f>
        <v>https://9fin.com/company/Star%20Bulk/overview</v>
      </c>
      <c r="N47" s="20" t="str">
        <f ca="1">IFERROR(__xludf.DUMMYFUNCTION("""COMPUTED_VALUE"""),"Press Release")</f>
        <v>Press Release</v>
      </c>
      <c r="O47" s="21" t="str">
        <f ca="1">IFERROR(__xludf.DUMMYFUNCTION("""COMPUTED_VALUE"""),"https://www.globenewswire.com/news-release/2026/03/06/3251093/0/en/Star-Bulk-to-Acquire-16-Vessels-from-Diana-Shipping-Inc-Conditional-Upon-the-Success-of-Its-Offer-to-Acquire-Genco-Shipping-Trading-Ltd.html")</f>
        <v>https://www.globenewswire.com/news-release/2026/03/06/3251093/0/en/Star-Bulk-to-Acquire-16-Vessels-from-Diana-Shipping-Inc-Conditional-Upon-the-Success-of-Its-Offer-to-Acquire-Genco-Shipping-Trading-Ltd.html</v>
      </c>
    </row>
    <row r="48" spans="1:15" ht="29.15">
      <c r="A48" s="1"/>
      <c r="B48" s="14" t="str">
        <f t="shared" ca="1" si="0"/>
        <v>Paramount Skydance</v>
      </c>
      <c r="C48" s="15" t="s">
        <v>29</v>
      </c>
      <c r="D48" s="15" t="s">
        <v>126</v>
      </c>
      <c r="E48" s="15" t="s">
        <v>127</v>
      </c>
      <c r="F48" s="15" t="s">
        <v>19</v>
      </c>
      <c r="G48" s="15" t="s">
        <v>125</v>
      </c>
      <c r="H48" s="15" t="s">
        <v>128</v>
      </c>
      <c r="I48" s="15" t="s">
        <v>129</v>
      </c>
      <c r="J48" s="14" t="str">
        <f t="shared" ca="1" si="1"/>
        <v>Press Release</v>
      </c>
      <c r="K48" s="19"/>
      <c r="L48" s="20" t="str">
        <f ca="1">IFERROR(__xludf.DUMMYFUNCTION("""COMPUTED_VALUE"""),"Paramount Skydance")</f>
        <v>Paramount Skydance</v>
      </c>
      <c r="M48" s="21" t="str">
        <f ca="1">IFERROR(__xludf.DUMMYFUNCTION("""COMPUTED_VALUE"""),"https://9fin.com/company/Paramount%20Global/overview")</f>
        <v>https://9fin.com/company/Paramount%20Global/overview</v>
      </c>
      <c r="N48" s="20" t="str">
        <f ca="1">IFERROR(__xludf.DUMMYFUNCTION("""COMPUTED_VALUE"""),"Press Release")</f>
        <v>Press Release</v>
      </c>
      <c r="O48" s="21" t="str">
        <f ca="1">IFERROR(__xludf.DUMMYFUNCTION("""COMPUTED_VALUE"""),"https://sec.9fin.com/Archives/edgar/data/2041610/000110465926021911/tm2533570d75_8k.htm")</f>
        <v>https://sec.9fin.com/Archives/edgar/data/2041610/000110465926021911/tm2533570d75_8k.htm</v>
      </c>
    </row>
    <row r="49" spans="1:15" ht="14.6">
      <c r="A49" s="1"/>
      <c r="B49" s="14" t="str">
        <f t="shared" ca="1" si="0"/>
        <v>Brink's</v>
      </c>
      <c r="C49" s="15" t="s">
        <v>44</v>
      </c>
      <c r="D49" s="15" t="s">
        <v>130</v>
      </c>
      <c r="E49" s="15" t="s">
        <v>170</v>
      </c>
      <c r="F49" s="15" t="s">
        <v>19</v>
      </c>
      <c r="G49" s="15" t="s">
        <v>169</v>
      </c>
      <c r="H49" s="15" t="s">
        <v>171</v>
      </c>
      <c r="I49" s="15" t="s">
        <v>172</v>
      </c>
      <c r="J49" s="14" t="str">
        <f t="shared" ca="1" si="1"/>
        <v>Press Release</v>
      </c>
      <c r="K49" s="19"/>
      <c r="L49" s="20" t="str">
        <f ca="1">IFERROR(__xludf.DUMMYFUNCTION("""COMPUTED_VALUE"""),"Brink's")</f>
        <v>Brink's</v>
      </c>
      <c r="M49" s="21" t="str">
        <f ca="1">IFERROR(__xludf.DUMMYFUNCTION("""COMPUTED_VALUE"""),"https://9fin.com/company/Brink's/overview")</f>
        <v>https://9fin.com/company/Brink's/overview</v>
      </c>
      <c r="N49" s="20" t="str">
        <f ca="1">IFERROR(__xludf.DUMMYFUNCTION("""COMPUTED_VALUE"""),"Press Release")</f>
        <v>Press Release</v>
      </c>
      <c r="O49" s="21" t="str">
        <f ca="1">IFERROR(__xludf.DUMMYFUNCTION("""COMPUTED_VALUE"""),"https://investor.ncratleos.com/news-events/press-releases/detail/174/brinks-to-acquire-ncr-atleos-for-6-6-billion-creating-leading-financial-technology-infrastructure-company")</f>
        <v>https://investor.ncratleos.com/news-events/press-releases/detail/174/brinks-to-acquire-ncr-atleos-for-6-6-billion-creating-leading-financial-technology-infrastructure-company</v>
      </c>
    </row>
    <row r="50" spans="1:15" ht="29.15">
      <c r="A50" s="1"/>
      <c r="B50" s="18" t="str">
        <f t="shared" ca="1" si="0"/>
        <v>Enhabit</v>
      </c>
      <c r="C50" s="15" t="s">
        <v>37</v>
      </c>
      <c r="D50" s="15" t="s">
        <v>148</v>
      </c>
      <c r="E50" s="15"/>
      <c r="F50" s="15" t="s">
        <v>21</v>
      </c>
      <c r="G50" s="15" t="s">
        <v>167</v>
      </c>
      <c r="H50" s="15" t="s">
        <v>166</v>
      </c>
      <c r="I50" s="15" t="s">
        <v>168</v>
      </c>
      <c r="J50" s="14" t="str">
        <f t="shared" ca="1" si="1"/>
        <v>Press Release</v>
      </c>
      <c r="K50" s="19"/>
      <c r="L50" s="20" t="str">
        <f ca="1">IFERROR(__xludf.DUMMYFUNCTION("""COMPUTED_VALUE"""),"Enhabit")</f>
        <v>Enhabit</v>
      </c>
      <c r="M50" s="20"/>
      <c r="N50" s="20" t="str">
        <f ca="1">IFERROR(__xludf.DUMMYFUNCTION("""COMPUTED_VALUE"""),"Press Release")</f>
        <v>Press Release</v>
      </c>
      <c r="O50" s="21" t="str">
        <f ca="1">IFERROR(__xludf.DUMMYFUNCTION("""COMPUTED_VALUE"""),"https://www.kinderhook.com/press-release/enhabit-to-be-acquired-by-kinderhook-industries/")</f>
        <v>https://www.kinderhook.com/press-release/enhabit-to-be-acquired-by-kinderhook-industries/</v>
      </c>
    </row>
    <row r="51" spans="1:15" ht="29.15">
      <c r="A51" s="1"/>
      <c r="B51" s="14" t="str">
        <f t="shared" ca="1" si="0"/>
        <v>Mack-Cali Realty</v>
      </c>
      <c r="C51" s="15" t="s">
        <v>41</v>
      </c>
      <c r="D51" s="15" t="s">
        <v>148</v>
      </c>
      <c r="E51" s="15" t="s">
        <v>179</v>
      </c>
      <c r="F51" s="15" t="s">
        <v>21</v>
      </c>
      <c r="G51" s="15" t="s">
        <v>180</v>
      </c>
      <c r="H51" s="15" t="s">
        <v>178</v>
      </c>
      <c r="I51" s="15" t="s">
        <v>181</v>
      </c>
      <c r="J51" s="14" t="str">
        <f t="shared" ca="1" si="1"/>
        <v>Press Release</v>
      </c>
      <c r="K51" s="19"/>
      <c r="L51" s="20" t="str">
        <f ca="1">IFERROR(__xludf.DUMMYFUNCTION("""COMPUTED_VALUE"""),"Mack-Cali Realty")</f>
        <v>Mack-Cali Realty</v>
      </c>
      <c r="M51" s="21" t="str">
        <f ca="1">IFERROR(__xludf.DUMMYFUNCTION("""COMPUTED_VALUE"""),"https://9fin.com/company/Mack-Cali%20Realty/overview")</f>
        <v>https://9fin.com/company/Mack-Cali%20Realty/overview</v>
      </c>
      <c r="N51" s="20" t="str">
        <f ca="1">IFERROR(__xludf.DUMMYFUNCTION("""COMPUTED_VALUE"""),"Press Release")</f>
        <v>Press Release</v>
      </c>
      <c r="O51" s="21" t="str">
        <f ca="1">IFERROR(__xludf.DUMMYFUNCTION("""COMPUTED_VALUE"""),"https://sec.9fin.com/Archives/edgar/data/924901/000110465926018349/tm267019d1_8k.htm")</f>
        <v>https://sec.9fin.com/Archives/edgar/data/924901/000110465926018349/tm267019d1_8k.htm</v>
      </c>
    </row>
    <row r="52" spans="1:15" ht="29.15">
      <c r="A52" s="1"/>
      <c r="B52" s="18" t="str">
        <f t="shared" ca="1" si="0"/>
        <v>Saltchuk Resources</v>
      </c>
      <c r="C52" s="15" t="s">
        <v>76</v>
      </c>
      <c r="D52" s="15" t="s">
        <v>148</v>
      </c>
      <c r="E52" s="15" t="s">
        <v>45</v>
      </c>
      <c r="F52" s="15" t="s">
        <v>19</v>
      </c>
      <c r="G52" s="15" t="s">
        <v>175</v>
      </c>
      <c r="H52" s="15" t="s">
        <v>176</v>
      </c>
      <c r="I52" s="15" t="s">
        <v>177</v>
      </c>
      <c r="J52" s="14" t="str">
        <f t="shared" ca="1" si="1"/>
        <v>Press Release</v>
      </c>
      <c r="K52" s="19"/>
      <c r="L52" s="20" t="str">
        <f ca="1">IFERROR(__xludf.DUMMYFUNCTION("""COMPUTED_VALUE"""),"Saltchuk Resources")</f>
        <v>Saltchuk Resources</v>
      </c>
      <c r="M52" s="20"/>
      <c r="N52" s="20" t="str">
        <f ca="1">IFERROR(__xludf.DUMMYFUNCTION("""COMPUTED_VALUE"""),"Press Release")</f>
        <v>Press Release</v>
      </c>
      <c r="O52" s="21" t="str">
        <f ca="1">IFERROR(__xludf.DUMMYFUNCTION("""COMPUTED_VALUE"""),"https://investor.gldd.com/news-releases/news-release-details/great-lakes-dredge-dock-join-saltchuk-family-companies")</f>
        <v>https://investor.gldd.com/news-releases/news-release-details/great-lakes-dredge-dock-join-saltchuk-family-companies</v>
      </c>
    </row>
    <row r="53" spans="1:15" ht="29.15">
      <c r="A53" s="1"/>
      <c r="B53" s="14" t="str">
        <f t="shared" ca="1" si="0"/>
        <v>Talen Energy</v>
      </c>
      <c r="C53" s="15" t="s">
        <v>48</v>
      </c>
      <c r="D53" s="15" t="s">
        <v>110</v>
      </c>
      <c r="E53" s="15" t="s">
        <v>162</v>
      </c>
      <c r="F53" s="15" t="s">
        <v>19</v>
      </c>
      <c r="G53" s="15" t="s">
        <v>103</v>
      </c>
      <c r="H53" s="15" t="s">
        <v>163</v>
      </c>
      <c r="I53" s="15" t="s">
        <v>164</v>
      </c>
      <c r="J53" s="14" t="str">
        <f t="shared" ca="1" si="1"/>
        <v>Press Release</v>
      </c>
      <c r="K53" s="19"/>
      <c r="L53" s="20" t="str">
        <f ca="1">IFERROR(__xludf.DUMMYFUNCTION("""COMPUTED_VALUE"""),"Talen Energy")</f>
        <v>Talen Energy</v>
      </c>
      <c r="M53" s="21" t="str">
        <f ca="1">IFERROR(__xludf.DUMMYFUNCTION("""COMPUTED_VALUE"""),"https://9fin.com/company/Talen%20Energy/overview")</f>
        <v>https://9fin.com/company/Talen%20Energy/overview</v>
      </c>
      <c r="N53" s="20" t="str">
        <f ca="1">IFERROR(__xludf.DUMMYFUNCTION("""COMPUTED_VALUE"""),"Press Release")</f>
        <v>Press Release</v>
      </c>
      <c r="O53" s="21" t="str">
        <f ca="1">IFERROR(__xludf.DUMMYFUNCTION("""COMPUTED_VALUE"""),"https://sec.9fin.com/Archives/edgar/data/1622536/000162253626000004/tln-20260115.htm")</f>
        <v>https://sec.9fin.com/Archives/edgar/data/1622536/000162253626000004/tln-20260115.htm</v>
      </c>
    </row>
    <row r="54" spans="1:15" ht="14.6">
      <c r="A54" s="1"/>
      <c r="B54" s="14" t="str">
        <f t="shared" ca="1" si="0"/>
        <v>Sparklight (Cable One)</v>
      </c>
      <c r="C54" s="15" t="s">
        <v>40</v>
      </c>
      <c r="D54" s="15" t="s">
        <v>156</v>
      </c>
      <c r="E54" s="15" t="s">
        <v>46</v>
      </c>
      <c r="F54" s="15" t="s">
        <v>19</v>
      </c>
      <c r="G54" s="15" t="s">
        <v>155</v>
      </c>
      <c r="H54" s="15" t="s">
        <v>157</v>
      </c>
      <c r="I54" s="15" t="s">
        <v>158</v>
      </c>
      <c r="J54" s="14" t="str">
        <f t="shared" ca="1" si="1"/>
        <v>9fin</v>
      </c>
      <c r="K54" s="19"/>
      <c r="L54" s="20" t="str">
        <f ca="1">IFERROR(__xludf.DUMMYFUNCTION("""COMPUTED_VALUE"""),"Sparklight (Cable One)")</f>
        <v>Sparklight (Cable One)</v>
      </c>
      <c r="M54" s="21" t="str">
        <f ca="1">IFERROR(__xludf.DUMMYFUNCTION("""COMPUTED_VALUE"""),"https://9fin.com/company/Sparklight%20(Cable%20One)/overview")</f>
        <v>https://9fin.com/company/Sparklight%20(Cable%20One)/overview</v>
      </c>
      <c r="N54" s="20" t="str">
        <f ca="1">IFERROR(__xludf.DUMMYFUNCTION("""COMPUTED_VALUE"""),"9fin")</f>
        <v>9fin</v>
      </c>
      <c r="O54" s="21" t="str">
        <f ca="1">IFERROR(__xludf.DUMMYFUNCTION("""COMPUTED_VALUE"""),"https://9fin.com/news/dd77905d-dc21-44a7-b0cc-8cacebd9e469")</f>
        <v>https://9fin.com/news/dd77905d-dc21-44a7-b0cc-8cacebd9e469</v>
      </c>
    </row>
    <row r="55" spans="1:15" ht="14.6">
      <c r="A55" s="1"/>
      <c r="B55" s="14" t="str">
        <f t="shared" ca="1" si="0"/>
        <v>Qualtrics</v>
      </c>
      <c r="C55" s="15" t="s">
        <v>22</v>
      </c>
      <c r="D55" s="15" t="s">
        <v>30</v>
      </c>
      <c r="E55" s="15" t="s">
        <v>132</v>
      </c>
      <c r="F55" s="15" t="s">
        <v>19</v>
      </c>
      <c r="G55" s="15" t="s">
        <v>131</v>
      </c>
      <c r="H55" s="15" t="s">
        <v>133</v>
      </c>
      <c r="I55" s="15" t="s">
        <v>134</v>
      </c>
      <c r="J55" s="14" t="str">
        <f t="shared" ca="1" si="1"/>
        <v>9fin</v>
      </c>
      <c r="K55" s="19"/>
      <c r="L55" s="20" t="str">
        <f ca="1">IFERROR(__xludf.DUMMYFUNCTION("""COMPUTED_VALUE"""),"Qualtrics")</f>
        <v>Qualtrics</v>
      </c>
      <c r="M55" s="21" t="str">
        <f ca="1">IFERROR(__xludf.DUMMYFUNCTION("""COMPUTED_VALUE"""),"https://9fin.com/company/Qualtrics/overview")</f>
        <v>https://9fin.com/company/Qualtrics/overview</v>
      </c>
      <c r="N55" s="20" t="str">
        <f ca="1">IFERROR(__xludf.DUMMYFUNCTION("""COMPUTED_VALUE"""),"9fin")</f>
        <v>9fin</v>
      </c>
      <c r="O55" s="21" t="str">
        <f ca="1">IFERROR(__xludf.DUMMYFUNCTION("""COMPUTED_VALUE"""),"https://9fin.com/news/36976874-9352-4625-a046-a440eb39f79b")</f>
        <v>https://9fin.com/news/36976874-9352-4625-a046-a440eb39f79b</v>
      </c>
    </row>
    <row r="56" spans="1:15" ht="14.6">
      <c r="A56" s="1"/>
      <c r="B56" s="14" t="str">
        <f t="shared" ca="1" si="0"/>
        <v>Charter Communications</v>
      </c>
      <c r="C56" s="15" t="s">
        <v>64</v>
      </c>
      <c r="D56" s="15" t="s">
        <v>30</v>
      </c>
      <c r="E56" s="15" t="s">
        <v>96</v>
      </c>
      <c r="F56" s="15" t="s">
        <v>19</v>
      </c>
      <c r="G56" s="15" t="s">
        <v>77</v>
      </c>
      <c r="H56" s="15" t="s">
        <v>97</v>
      </c>
      <c r="I56" s="15" t="s">
        <v>98</v>
      </c>
      <c r="J56" s="14" t="str">
        <f t="shared" ca="1" si="1"/>
        <v>9fin</v>
      </c>
      <c r="K56" s="19"/>
      <c r="L56" s="20" t="str">
        <f ca="1">IFERROR(__xludf.DUMMYFUNCTION("""COMPUTED_VALUE"""),"Charter Communications")</f>
        <v>Charter Communications</v>
      </c>
      <c r="M56" s="21" t="str">
        <f ca="1">IFERROR(__xludf.DUMMYFUNCTION("""COMPUTED_VALUE"""),"https://9fin.com/company/Charter%20Communications/overview")</f>
        <v>https://9fin.com/company/Charter%20Communications/overview</v>
      </c>
      <c r="N56" s="20" t="str">
        <f ca="1">IFERROR(__xludf.DUMMYFUNCTION("""COMPUTED_VALUE"""),"9fin")</f>
        <v>9fin</v>
      </c>
      <c r="O56" s="21" t="str">
        <f ca="1">IFERROR(__xludf.DUMMYFUNCTION("""COMPUTED_VALUE"""),"https://9fin.com/news/12e6e9da-5bc8-43c8-943f-96978ffcc089")</f>
        <v>https://9fin.com/news/12e6e9da-5bc8-43c8-943f-96978ffcc089</v>
      </c>
    </row>
    <row r="57" spans="1:15" ht="14.6">
      <c r="A57" s="1"/>
      <c r="B57" s="20"/>
      <c r="C57" s="20"/>
      <c r="D57" s="20"/>
      <c r="E57" s="20"/>
      <c r="F57" s="20"/>
      <c r="G57" s="20"/>
      <c r="H57" s="20"/>
      <c r="I57" s="23"/>
      <c r="J57" s="23"/>
      <c r="K57" s="19"/>
      <c r="L57" s="20"/>
      <c r="M57" s="20"/>
      <c r="N57" s="20"/>
      <c r="O57" s="20"/>
    </row>
    <row r="58" spans="1:15" ht="18">
      <c r="A58" s="1"/>
      <c r="B58" s="10" t="s">
        <v>2</v>
      </c>
      <c r="C58" s="10"/>
      <c r="D58" s="10"/>
      <c r="E58" s="10"/>
      <c r="F58" s="10"/>
      <c r="G58" s="10"/>
      <c r="H58" s="10"/>
      <c r="I58" s="11"/>
      <c r="J58" s="11"/>
      <c r="K58" s="8"/>
      <c r="L58" s="10"/>
      <c r="M58" s="10"/>
      <c r="N58" s="10"/>
      <c r="O58" s="10"/>
    </row>
    <row r="59" spans="1:15" ht="14.6">
      <c r="A59" s="1"/>
      <c r="B59" s="24" t="s">
        <v>5</v>
      </c>
      <c r="C59" s="24" t="s">
        <v>6</v>
      </c>
      <c r="D59" s="13" t="s">
        <v>7</v>
      </c>
      <c r="E59" s="24" t="s">
        <v>8</v>
      </c>
      <c r="F59" s="24" t="s">
        <v>9</v>
      </c>
      <c r="G59" s="12" t="s">
        <v>10</v>
      </c>
      <c r="H59" s="12" t="s">
        <v>11</v>
      </c>
      <c r="I59" s="25" t="s">
        <v>12</v>
      </c>
      <c r="J59" s="25" t="s">
        <v>13</v>
      </c>
      <c r="K59" s="8"/>
      <c r="L59" s="12" t="s">
        <v>14</v>
      </c>
      <c r="M59" s="12" t="s">
        <v>15</v>
      </c>
      <c r="N59" s="12" t="s">
        <v>16</v>
      </c>
      <c r="O59" s="12" t="s">
        <v>17</v>
      </c>
    </row>
    <row r="60" spans="1:15" ht="14.6">
      <c r="A60" s="1"/>
      <c r="B60" s="18" t="str">
        <f t="shared" ref="B60:B97" ca="1" si="2">HYPERLINK(M60,L60)</f>
        <v>Asset Living</v>
      </c>
      <c r="C60" s="15" t="s">
        <v>41</v>
      </c>
      <c r="D60" s="15" t="s">
        <v>30</v>
      </c>
      <c r="E60" s="15" t="s">
        <v>60</v>
      </c>
      <c r="F60" s="15" t="s">
        <v>21</v>
      </c>
      <c r="G60" s="15" t="s">
        <v>82</v>
      </c>
      <c r="H60" s="15" t="s">
        <v>281</v>
      </c>
      <c r="I60" s="15" t="s">
        <v>282</v>
      </c>
      <c r="J60" s="14" t="str">
        <f t="shared" ref="J60:J97" ca="1" si="3">HYPERLINK(O60,N60)</f>
        <v>Private Equity Wire</v>
      </c>
      <c r="K60" s="8"/>
      <c r="L60" s="16" t="str">
        <f ca="1">IFERROR(__xludf.DUMMYFUNCTION("query(sort(filter(Main!$C9:$T538,Main!$B9:$B538=""Expected Debt Financing""),1,false),""select Col3,Col4,Col15,Col16"")"),"Asset Living")</f>
        <v>Asset Living</v>
      </c>
      <c r="M60" s="16"/>
      <c r="N60" s="16" t="str">
        <f ca="1">IFERROR(__xludf.DUMMYFUNCTION("""COMPUTED_VALUE"""),"Private Equity Wire")</f>
        <v>Private Equity Wire</v>
      </c>
      <c r="O60" s="17" t="str">
        <f ca="1">IFERROR(__xludf.DUMMYFUNCTION("""COMPUTED_VALUE"""),"https://www.privateequitywire.co.uk/new-mountain-capital-to-acquire-asset-living-in-deal-valued-at-over-2bn/")</f>
        <v>https://www.privateequitywire.co.uk/new-mountain-capital-to-acquire-asset-living-in-deal-valued-at-over-2bn/</v>
      </c>
    </row>
    <row r="61" spans="1:15" ht="14.6">
      <c r="A61" s="1"/>
      <c r="B61" s="18" t="str">
        <f t="shared" ca="1" si="2"/>
        <v>Saltair</v>
      </c>
      <c r="C61" s="15" t="s">
        <v>39</v>
      </c>
      <c r="D61" s="15" t="s">
        <v>30</v>
      </c>
      <c r="E61" s="15"/>
      <c r="F61" s="15" t="s">
        <v>21</v>
      </c>
      <c r="G61" s="15" t="s">
        <v>343</v>
      </c>
      <c r="H61" s="15" t="s">
        <v>342</v>
      </c>
      <c r="I61" s="15" t="s">
        <v>344</v>
      </c>
      <c r="J61" s="14" t="str">
        <f t="shared" ca="1" si="3"/>
        <v>Press Release</v>
      </c>
      <c r="K61" s="8"/>
      <c r="L61" s="16" t="str">
        <f ca="1">IFERROR(__xludf.DUMMYFUNCTION("""COMPUTED_VALUE"""),"Saltair")</f>
        <v>Saltair</v>
      </c>
      <c r="M61" s="16"/>
      <c r="N61" s="16" t="str">
        <f ca="1">IFERROR(__xludf.DUMMYFUNCTION("""COMPUTED_VALUE"""),"Press Release")</f>
        <v>Press Release</v>
      </c>
      <c r="O61" s="17" t="str">
        <f ca="1">IFERROR(__xludf.DUMMYFUNCTION("""COMPUTED_VALUE"""),"https://www.tsgconsumer.com/news/tsg-consumer-to-acquire-majority-stake-in-saltair")</f>
        <v>https://www.tsgconsumer.com/news/tsg-consumer-to-acquire-majority-stake-in-saltair</v>
      </c>
    </row>
    <row r="62" spans="1:15" ht="29.15">
      <c r="A62" s="1"/>
      <c r="B62" s="18" t="str">
        <f t="shared" ca="1" si="2"/>
        <v>DarkVision</v>
      </c>
      <c r="C62" s="15" t="s">
        <v>47</v>
      </c>
      <c r="D62" s="15" t="s">
        <v>30</v>
      </c>
      <c r="E62" s="15"/>
      <c r="F62" s="15" t="s">
        <v>21</v>
      </c>
      <c r="G62" s="15" t="s">
        <v>350</v>
      </c>
      <c r="H62" s="15" t="s">
        <v>349</v>
      </c>
      <c r="I62" s="15" t="s">
        <v>351</v>
      </c>
      <c r="J62" s="14" t="str">
        <f t="shared" ca="1" si="3"/>
        <v>Press Release</v>
      </c>
      <c r="K62" s="8"/>
      <c r="L62" s="16" t="str">
        <f ca="1">IFERROR(__xludf.DUMMYFUNCTION("""COMPUTED_VALUE"""),"DarkVision")</f>
        <v>DarkVision</v>
      </c>
      <c r="M62" s="16"/>
      <c r="N62" s="16" t="str">
        <f ca="1">IFERROR(__xludf.DUMMYFUNCTION("""COMPUTED_VALUE"""),"Press Release")</f>
        <v>Press Release</v>
      </c>
      <c r="O62" s="17" t="str">
        <f ca="1">IFERROR(__xludf.DUMMYFUNCTION("""COMPUTED_VALUE"""),"https://www.blackstone.com/news/press/blackstone-energy-transition-partners-announces-agreement-to-acquire-darkvision-from-koch-engineered-solutions/")</f>
        <v>https://www.blackstone.com/news/press/blackstone-energy-transition-partners-announces-agreement-to-acquire-darkvision-from-koch-engineered-solutions/</v>
      </c>
    </row>
    <row r="63" spans="1:15" ht="14.6">
      <c r="A63" s="1"/>
      <c r="B63" s="14" t="str">
        <f t="shared" ca="1" si="2"/>
        <v>Grant Thornton</v>
      </c>
      <c r="C63" s="15" t="s">
        <v>44</v>
      </c>
      <c r="D63" s="15" t="s">
        <v>156</v>
      </c>
      <c r="E63" s="15" t="s">
        <v>74</v>
      </c>
      <c r="F63" s="15" t="s">
        <v>19</v>
      </c>
      <c r="G63" s="15" t="s">
        <v>93</v>
      </c>
      <c r="H63" s="15" t="s">
        <v>290</v>
      </c>
      <c r="I63" s="15" t="s">
        <v>291</v>
      </c>
      <c r="J63" s="14" t="str">
        <f t="shared" ca="1" si="3"/>
        <v>Press Release</v>
      </c>
      <c r="K63" s="8"/>
      <c r="L63" s="16" t="str">
        <f ca="1">IFERROR(__xludf.DUMMYFUNCTION("""COMPUTED_VALUE"""),"Grant Thornton")</f>
        <v>Grant Thornton</v>
      </c>
      <c r="M63" s="17" t="str">
        <f ca="1">IFERROR(__xludf.DUMMYFUNCTION("""COMPUTED_VALUE"""),"https://9fin.com/company/Grant%20Thornton/overview")</f>
        <v>https://9fin.com/company/Grant%20Thornton/overview</v>
      </c>
      <c r="N63" s="16" t="str">
        <f ca="1">IFERROR(__xludf.DUMMYFUNCTION("""COMPUTED_VALUE"""),"Press Release")</f>
        <v>Press Release</v>
      </c>
      <c r="O63" s="17" t="str">
        <f ca="1">IFERROR(__xludf.DUMMYFUNCTION("""COMPUTED_VALUE"""),"https://www.globenewswire.com/news-release/2026/07/29/3335168/0/en/Grant-Thornton-Advisors-to-Acquire-CBIZ-for-5-Billion-in-Transaction-Supported-by-New-Mountain-Capital.html")</f>
        <v>https://www.globenewswire.com/news-release/2026/07/29/3335168/0/en/Grant-Thornton-Advisors-to-Acquire-CBIZ-for-5-Billion-in-Transaction-Supported-by-New-Mountain-Capital.html</v>
      </c>
    </row>
    <row r="64" spans="1:15" ht="14.6">
      <c r="A64" s="1"/>
      <c r="B64" s="14" t="str">
        <f t="shared" ca="1" si="2"/>
        <v>Copeland</v>
      </c>
      <c r="C64" s="15" t="s">
        <v>36</v>
      </c>
      <c r="D64" s="15" t="s">
        <v>110</v>
      </c>
      <c r="E64" s="15"/>
      <c r="F64" s="15" t="s">
        <v>19</v>
      </c>
      <c r="G64" s="15" t="s">
        <v>336</v>
      </c>
      <c r="H64" s="15" t="s">
        <v>337</v>
      </c>
      <c r="I64" s="15" t="s">
        <v>338</v>
      </c>
      <c r="J64" s="14" t="str">
        <f t="shared" ca="1" si="3"/>
        <v>Press Release</v>
      </c>
      <c r="K64" s="8"/>
      <c r="L64" s="16" t="str">
        <f ca="1">IFERROR(__xludf.DUMMYFUNCTION("""COMPUTED_VALUE"""),"Copeland")</f>
        <v>Copeland</v>
      </c>
      <c r="M64" s="17" t="str">
        <f ca="1">IFERROR(__xludf.DUMMYFUNCTION("""COMPUTED_VALUE"""),"https://9fin.com/company/Copeland/overview")</f>
        <v>https://9fin.com/company/Copeland/overview</v>
      </c>
      <c r="N64" s="16" t="str">
        <f ca="1">IFERROR(__xludf.DUMMYFUNCTION("""COMPUTED_VALUE"""),"Press Release")</f>
        <v>Press Release</v>
      </c>
      <c r="O64" s="17" t="str">
        <f ca="1">IFERROR(__xludf.DUMMYFUNCTION("""COMPUTED_VALUE"""),"https://www.businesswire.com/news/home/20260729958091/en/Copeland-Enters-into-Exclusive-Negotiations-to-Acquire-Dickson-Advancing-Cold-Chain-Leadership")</f>
        <v>https://www.businesswire.com/news/home/20260729958091/en/Copeland-Enters-into-Exclusive-Negotiations-to-Acquire-Dickson-Advancing-Cold-Chain-Leadership</v>
      </c>
    </row>
    <row r="65" spans="1:15" ht="14.6">
      <c r="A65" s="1"/>
      <c r="B65" s="14" t="str">
        <f t="shared" ca="1" si="2"/>
        <v>Central Garden &amp; Pet</v>
      </c>
      <c r="C65" s="15" t="s">
        <v>39</v>
      </c>
      <c r="D65" s="15" t="s">
        <v>192</v>
      </c>
      <c r="E65" s="15"/>
      <c r="F65" s="15" t="s">
        <v>19</v>
      </c>
      <c r="G65" s="15" t="s">
        <v>320</v>
      </c>
      <c r="H65" s="15" t="s">
        <v>321</v>
      </c>
      <c r="I65" s="15" t="s">
        <v>322</v>
      </c>
      <c r="J65" s="14" t="str">
        <f t="shared" ca="1" si="3"/>
        <v>Press Release</v>
      </c>
      <c r="K65" s="8"/>
      <c r="L65" s="16" t="str">
        <f ca="1">IFERROR(__xludf.DUMMYFUNCTION("""COMPUTED_VALUE"""),"Central Garden &amp; Pet")</f>
        <v>Central Garden &amp; Pet</v>
      </c>
      <c r="M65" s="17" t="str">
        <f ca="1">IFERROR(__xludf.DUMMYFUNCTION("""COMPUTED_VALUE"""),"https://9fin.com/company/Central%20Garden%20%26%20Pet/overview")</f>
        <v>https://9fin.com/company/Central%20Garden%20%26%20Pet/overview</v>
      </c>
      <c r="N65" s="16" t="str">
        <f ca="1">IFERROR(__xludf.DUMMYFUNCTION("""COMPUTED_VALUE"""),"Press Release")</f>
        <v>Press Release</v>
      </c>
      <c r="O65" s="17" t="str">
        <f ca="1">IFERROR(__xludf.DUMMYFUNCTION("""COMPUTED_VALUE"""),"https://ir.central.com/news-events/press-releases/detail/485/central-garden-pet-to-acquire-a-majority-interest-in")</f>
        <v>https://ir.central.com/news-events/press-releases/detail/485/central-garden-pet-to-acquire-a-majority-interest-in</v>
      </c>
    </row>
    <row r="66" spans="1:15" ht="14.6">
      <c r="A66" s="1"/>
      <c r="B66" s="14" t="str">
        <f t="shared" ca="1" si="2"/>
        <v>Aypa Power</v>
      </c>
      <c r="C66" s="15" t="s">
        <v>57</v>
      </c>
      <c r="D66" s="15" t="s">
        <v>30</v>
      </c>
      <c r="E66" s="15" t="s">
        <v>71</v>
      </c>
      <c r="F66" s="15" t="s">
        <v>21</v>
      </c>
      <c r="G66" s="15" t="s">
        <v>38</v>
      </c>
      <c r="H66" s="15" t="s">
        <v>340</v>
      </c>
      <c r="I66" s="15" t="s">
        <v>341</v>
      </c>
      <c r="J66" s="14" t="str">
        <f t="shared" ca="1" si="3"/>
        <v>Press Release</v>
      </c>
      <c r="K66" s="8"/>
      <c r="L66" s="16" t="str">
        <f ca="1">IFERROR(__xludf.DUMMYFUNCTION("""COMPUTED_VALUE"""),"Aypa Power")</f>
        <v>Aypa Power</v>
      </c>
      <c r="M66" s="17" t="str">
        <f ca="1">IFERROR(__xludf.DUMMYFUNCTION("""COMPUTED_VALUE"""),"https://9fin.com/company/Aypa%20Power/overview")</f>
        <v>https://9fin.com/company/Aypa%20Power/overview</v>
      </c>
      <c r="N66" s="16" t="str">
        <f ca="1">IFERROR(__xludf.DUMMYFUNCTION("""COMPUTED_VALUE"""),"Press Release")</f>
        <v>Press Release</v>
      </c>
      <c r="O66" s="17" t="str">
        <f ca="1">IFERROR(__xludf.DUMMYFUNCTION("""COMPUTED_VALUE"""),"https://bep.brookfield.com/press-releases/bep/brookfield-acquire-aypa-power-leading-north-american-battery-storage-platform")</f>
        <v>https://bep.brookfield.com/press-releases/bep/brookfield-acquire-aypa-power-leading-north-american-battery-storage-platform</v>
      </c>
    </row>
    <row r="67" spans="1:15" ht="14.6">
      <c r="A67" s="1"/>
      <c r="B67" s="14" t="str">
        <f t="shared" ca="1" si="2"/>
        <v>Mavis Tire</v>
      </c>
      <c r="C67" s="15" t="s">
        <v>50</v>
      </c>
      <c r="D67" s="15" t="s">
        <v>110</v>
      </c>
      <c r="E67" s="15" t="s">
        <v>317</v>
      </c>
      <c r="F67" s="15" t="s">
        <v>19</v>
      </c>
      <c r="G67" s="15" t="s">
        <v>316</v>
      </c>
      <c r="H67" s="15" t="s">
        <v>318</v>
      </c>
      <c r="I67" s="15" t="s">
        <v>319</v>
      </c>
      <c r="J67" s="14" t="str">
        <f t="shared" ca="1" si="3"/>
        <v>Press Release</v>
      </c>
      <c r="K67" s="8"/>
      <c r="L67" s="16" t="str">
        <f ca="1">IFERROR(__xludf.DUMMYFUNCTION("""COMPUTED_VALUE"""),"Mavis Tire")</f>
        <v>Mavis Tire</v>
      </c>
      <c r="M67" s="17" t="str">
        <f ca="1">IFERROR(__xludf.DUMMYFUNCTION("""COMPUTED_VALUE"""),"https://9fin.com/company/Mavis%20Tire/overview")</f>
        <v>https://9fin.com/company/Mavis%20Tire/overview</v>
      </c>
      <c r="N67" s="16" t="str">
        <f ca="1">IFERROR(__xludf.DUMMYFUNCTION("""COMPUTED_VALUE"""),"Press Release")</f>
        <v>Press Release</v>
      </c>
      <c r="O67" s="17" t="str">
        <f ca="1">IFERROR(__xludf.DUMMYFUNCTION("""COMPUTED_VALUE"""),"https://www.businesswire.com/news/home/20260720845773/en/Mavis-to-Acquire-Pep-Boys-from-Icahn-Enterprises-for-%24700-Million-in-Cash")</f>
        <v>https://www.businesswire.com/news/home/20260720845773/en/Mavis-to-Acquire-Pep-Boys-from-Icahn-Enterprises-for-%24700-Million-in-Cash</v>
      </c>
    </row>
    <row r="68" spans="1:15" ht="14.6">
      <c r="A68" s="1"/>
      <c r="B68" s="14" t="str">
        <f t="shared" ca="1" si="2"/>
        <v>Russell Investments</v>
      </c>
      <c r="C68" s="15" t="s">
        <v>18</v>
      </c>
      <c r="D68" s="15" t="s">
        <v>130</v>
      </c>
      <c r="E68" s="15" t="s">
        <v>313</v>
      </c>
      <c r="F68" s="15" t="s">
        <v>21</v>
      </c>
      <c r="G68" s="15" t="s">
        <v>314</v>
      </c>
      <c r="H68" s="15" t="s">
        <v>312</v>
      </c>
      <c r="I68" s="15" t="s">
        <v>315</v>
      </c>
      <c r="J68" s="14" t="str">
        <f t="shared" ca="1" si="3"/>
        <v>Bloomberg</v>
      </c>
      <c r="K68" s="8"/>
      <c r="L68" s="16" t="str">
        <f ca="1">IFERROR(__xludf.DUMMYFUNCTION("""COMPUTED_VALUE"""),"Russell Investments")</f>
        <v>Russell Investments</v>
      </c>
      <c r="M68" s="17" t="str">
        <f ca="1">IFERROR(__xludf.DUMMYFUNCTION("""COMPUTED_VALUE"""),"https://9fin.com/company/Russell%20Investments/overview")</f>
        <v>https://9fin.com/company/Russell%20Investments/overview</v>
      </c>
      <c r="N68" s="16" t="str">
        <f ca="1">IFERROR(__xludf.DUMMYFUNCTION("""COMPUTED_VALUE"""),"Bloomberg")</f>
        <v>Bloomberg</v>
      </c>
      <c r="O68" s="17" t="str">
        <f ca="1">IFERROR(__xludf.DUMMYFUNCTION("""COMPUTED_VALUE"""),"https://www.bloomberg.com/news/articles/2026-07-09/b-capital-led-group-buys-russell-investments-for-2-8-billion")</f>
        <v>https://www.bloomberg.com/news/articles/2026-07-09/b-capital-led-group-buys-russell-investments-for-2-8-billion</v>
      </c>
    </row>
    <row r="69" spans="1:15" ht="14.6">
      <c r="A69" s="1"/>
      <c r="B69" s="14" t="str">
        <f t="shared" ca="1" si="2"/>
        <v>TransDigm Group</v>
      </c>
      <c r="C69" s="15" t="s">
        <v>27</v>
      </c>
      <c r="D69" s="15" t="s">
        <v>30</v>
      </c>
      <c r="E69" s="15" t="s">
        <v>309</v>
      </c>
      <c r="F69" s="15" t="s">
        <v>19</v>
      </c>
      <c r="G69" s="15" t="s">
        <v>147</v>
      </c>
      <c r="H69" s="15" t="s">
        <v>310</v>
      </c>
      <c r="I69" s="15" t="s">
        <v>311</v>
      </c>
      <c r="J69" s="14" t="str">
        <f t="shared" ca="1" si="3"/>
        <v>Press Release</v>
      </c>
      <c r="K69" s="8"/>
      <c r="L69" s="16" t="str">
        <f ca="1">IFERROR(__xludf.DUMMYFUNCTION("""COMPUTED_VALUE"""),"TransDigm Group")</f>
        <v>TransDigm Group</v>
      </c>
      <c r="M69" s="17" t="str">
        <f ca="1">IFERROR(__xludf.DUMMYFUNCTION("""COMPUTED_VALUE"""),"https://9fin.com/company/TransDigm%20Group/overview")</f>
        <v>https://9fin.com/company/TransDigm%20Group/overview</v>
      </c>
      <c r="N69" s="16" t="str">
        <f ca="1">IFERROR(__xludf.DUMMYFUNCTION("""COMPUTED_VALUE"""),"Press Release")</f>
        <v>Press Release</v>
      </c>
      <c r="O69" s="17" t="str">
        <f ca="1">IFERROR(__xludf.DUMMYFUNCTION("""COMPUTED_VALUE"""),"https://www.prnewswire.com/news-releases/transdigm-announces-acquisition-of-prince--izant-302835126.html")</f>
        <v>https://www.prnewswire.com/news-releases/transdigm-announces-acquisition-of-prince--izant-302835126.html</v>
      </c>
    </row>
    <row r="70" spans="1:15" ht="14.6">
      <c r="A70" s="1"/>
      <c r="B70" s="14" t="str">
        <f t="shared" ca="1" si="2"/>
        <v>Versant Media</v>
      </c>
      <c r="C70" s="15" t="s">
        <v>29</v>
      </c>
      <c r="D70" s="15" t="s">
        <v>110</v>
      </c>
      <c r="E70" s="15" t="s">
        <v>306</v>
      </c>
      <c r="F70" s="15" t="s">
        <v>19</v>
      </c>
      <c r="G70" s="15" t="s">
        <v>305</v>
      </c>
      <c r="H70" s="15" t="s">
        <v>307</v>
      </c>
      <c r="I70" s="15" t="s">
        <v>308</v>
      </c>
      <c r="J70" s="14" t="str">
        <f t="shared" ca="1" si="3"/>
        <v>Press Release</v>
      </c>
      <c r="K70" s="8"/>
      <c r="L70" s="16" t="str">
        <f ca="1">IFERROR(__xludf.DUMMYFUNCTION("""COMPUTED_VALUE"""),"Versant Media")</f>
        <v>Versant Media</v>
      </c>
      <c r="M70" s="17" t="str">
        <f ca="1">IFERROR(__xludf.DUMMYFUNCTION("""COMPUTED_VALUE"""),"https://9fin.com/company/Versant%20Media/overview")</f>
        <v>https://9fin.com/company/Versant%20Media/overview</v>
      </c>
      <c r="N70" s="16" t="str">
        <f ca="1">IFERROR(__xludf.DUMMYFUNCTION("""COMPUTED_VALUE"""),"Press Release")</f>
        <v>Press Release</v>
      </c>
      <c r="O70" s="17" t="str">
        <f ca="1">IFERROR(__xludf.DUMMYFUNCTION("""COMPUTED_VALUE"""),"https://sec.9fin.com/Archives/edgar/data/2067876/000206787626000034/vsnt-20260706.htm")</f>
        <v>https://sec.9fin.com/Archives/edgar/data/2067876/000206787626000034/vsnt-20260706.htm</v>
      </c>
    </row>
    <row r="71" spans="1:15" ht="29.15">
      <c r="A71" s="1"/>
      <c r="B71" s="14" t="str">
        <f t="shared" ca="1" si="2"/>
        <v>Avantus Aerospace</v>
      </c>
      <c r="C71" s="15" t="s">
        <v>27</v>
      </c>
      <c r="D71" s="15" t="s">
        <v>30</v>
      </c>
      <c r="E71" s="15"/>
      <c r="F71" s="15" t="s">
        <v>21</v>
      </c>
      <c r="G71" s="15" t="s">
        <v>303</v>
      </c>
      <c r="H71" s="15" t="s">
        <v>302</v>
      </c>
      <c r="I71" s="15" t="s">
        <v>304</v>
      </c>
      <c r="J71" s="14" t="str">
        <f t="shared" ca="1" si="3"/>
        <v>Press Release</v>
      </c>
      <c r="K71" s="8"/>
      <c r="L71" s="16" t="str">
        <f ca="1">IFERROR(__xludf.DUMMYFUNCTION("""COMPUTED_VALUE"""),"Avantus Aerospace")</f>
        <v>Avantus Aerospace</v>
      </c>
      <c r="M71" s="17" t="str">
        <f ca="1">IFERROR(__xludf.DUMMYFUNCTION("""COMPUTED_VALUE"""),"https://9fin.com/company/Avantus%20Aerospace/overview")</f>
        <v>https://9fin.com/company/Avantus%20Aerospace/overview</v>
      </c>
      <c r="N71" s="16" t="str">
        <f ca="1">IFERROR(__xludf.DUMMYFUNCTION("""COMPUTED_VALUE"""),"Press Release")</f>
        <v>Press Release</v>
      </c>
      <c r="O71" s="17" t="str">
        <f ca="1">IFERROR(__xludf.DUMMYFUNCTION("""COMPUTED_VALUE"""),"https://www.prnewswire.com/news-releases/arcline-investment-management-to-acquire-avantus-302815142.html")</f>
        <v>https://www.prnewswire.com/news-releases/arcline-investment-management-to-acquire-avantus-302815142.html</v>
      </c>
    </row>
    <row r="72" spans="1:15" ht="14.6">
      <c r="A72" s="1"/>
      <c r="B72" s="14" t="str">
        <f t="shared" ca="1" si="2"/>
        <v>Republic Finance</v>
      </c>
      <c r="C72" s="15" t="s">
        <v>18</v>
      </c>
      <c r="D72" s="15" t="s">
        <v>110</v>
      </c>
      <c r="E72" s="15"/>
      <c r="F72" s="15" t="s">
        <v>21</v>
      </c>
      <c r="G72" s="15" t="s">
        <v>261</v>
      </c>
      <c r="H72" s="15" t="s">
        <v>260</v>
      </c>
      <c r="I72" s="15" t="s">
        <v>262</v>
      </c>
      <c r="J72" s="14" t="str">
        <f t="shared" ca="1" si="3"/>
        <v>Press Release</v>
      </c>
      <c r="K72" s="8"/>
      <c r="L72" s="16" t="str">
        <f ca="1">IFERROR(__xludf.DUMMYFUNCTION("""COMPUTED_VALUE"""),"Republic Finance")</f>
        <v>Republic Finance</v>
      </c>
      <c r="M72" s="17" t="str">
        <f ca="1">IFERROR(__xludf.DUMMYFUNCTION("""COMPUTED_VALUE"""),"https://9fin.com/company/Republic%20Finance/overview")</f>
        <v>https://9fin.com/company/Republic%20Finance/overview</v>
      </c>
      <c r="N72" s="16" t="str">
        <f ca="1">IFERROR(__xludf.DUMMYFUNCTION("""COMPUTED_VALUE"""),"Press Release")</f>
        <v>Press Release</v>
      </c>
      <c r="O72" s="17" t="str">
        <f ca="1">IFERROR(__xludf.DUMMYFUNCTION("""COMPUTED_VALUE"""),"https://www.prnewswire.com/news-releases/republic-finance-agrees-to-be-acquired-by-a-jc-flowers-led-investor-group-302811940.html")</f>
        <v>https://www.prnewswire.com/news-releases/republic-finance-agrees-to-be-acquired-by-a-jc-flowers-led-investor-group-302811940.html</v>
      </c>
    </row>
    <row r="73" spans="1:15" ht="14.6">
      <c r="A73" s="1"/>
      <c r="B73" s="14" t="str">
        <f t="shared" ca="1" si="2"/>
        <v>FirstCash</v>
      </c>
      <c r="C73" s="15" t="s">
        <v>18</v>
      </c>
      <c r="D73" s="15" t="s">
        <v>156</v>
      </c>
      <c r="E73" s="15" t="s">
        <v>268</v>
      </c>
      <c r="F73" s="15" t="s">
        <v>19</v>
      </c>
      <c r="G73" s="15" t="s">
        <v>267</v>
      </c>
      <c r="H73" s="15" t="s">
        <v>269</v>
      </c>
      <c r="I73" s="15" t="s">
        <v>270</v>
      </c>
      <c r="J73" s="14" t="str">
        <f t="shared" ca="1" si="3"/>
        <v>Press Release</v>
      </c>
      <c r="K73" s="8"/>
      <c r="L73" s="16" t="str">
        <f ca="1">IFERROR(__xludf.DUMMYFUNCTION("""COMPUTED_VALUE"""),"FirstCash")</f>
        <v>FirstCash</v>
      </c>
      <c r="M73" s="17" t="str">
        <f ca="1">IFERROR(__xludf.DUMMYFUNCTION("""COMPUTED_VALUE"""),"https://9fin.com/company/FirstCash/overview")</f>
        <v>https://9fin.com/company/FirstCash/overview</v>
      </c>
      <c r="N73" s="16" t="str">
        <f ca="1">IFERROR(__xludf.DUMMYFUNCTION("""COMPUTED_VALUE"""),"Press Release")</f>
        <v>Press Release</v>
      </c>
      <c r="O73" s="17" t="str">
        <f ca="1">IFERROR(__xludf.DUMMYFUNCTION("""COMPUTED_VALUE"""),"https://sec.9fin.com/Archives/edgar/data/840489/000110465926076623/tm2618455d1_ex99-1.htm")</f>
        <v>https://sec.9fin.com/Archives/edgar/data/840489/000110465926076623/tm2618455d1_ex99-1.htm</v>
      </c>
    </row>
    <row r="74" spans="1:15" ht="14.6">
      <c r="A74" s="1"/>
      <c r="B74" s="14" t="str">
        <f t="shared" ca="1" si="2"/>
        <v>BMC Helix</v>
      </c>
      <c r="C74" s="15" t="s">
        <v>22</v>
      </c>
      <c r="D74" s="15" t="s">
        <v>30</v>
      </c>
      <c r="E74" s="15"/>
      <c r="F74" s="15" t="s">
        <v>21</v>
      </c>
      <c r="G74" s="15" t="s">
        <v>277</v>
      </c>
      <c r="H74" s="15" t="s">
        <v>80</v>
      </c>
      <c r="I74" s="15" t="s">
        <v>278</v>
      </c>
      <c r="J74" s="14" t="str">
        <f t="shared" ca="1" si="3"/>
        <v>Press Release</v>
      </c>
      <c r="K74" s="8"/>
      <c r="L74" s="16" t="str">
        <f ca="1">IFERROR(__xludf.DUMMYFUNCTION("""COMPUTED_VALUE"""),"BMC Helix")</f>
        <v>BMC Helix</v>
      </c>
      <c r="M74" s="17" t="str">
        <f ca="1">IFERROR(__xludf.DUMMYFUNCTION("""COMPUTED_VALUE"""),"https://9fin.com/company/BMC%20Helix/overview")</f>
        <v>https://9fin.com/company/BMC%20Helix/overview</v>
      </c>
      <c r="N74" s="16" t="str">
        <f ca="1">IFERROR(__xludf.DUMMYFUNCTION("""COMPUTED_VALUE"""),"Press Release")</f>
        <v>Press Release</v>
      </c>
      <c r="O74" s="17" t="str">
        <f ca="1">IFERROR(__xludf.DUMMYFUNCTION("""COMPUTED_VALUE"""),"https://media.kkr.com/news-details?news_id=88c57512-bd4f-48ee-9386-bac5a7c95d94")</f>
        <v>https://media.kkr.com/news-details?news_id=88c57512-bd4f-48ee-9386-bac5a7c95d94</v>
      </c>
    </row>
    <row r="75" spans="1:15" ht="14.6">
      <c r="A75" s="1"/>
      <c r="B75" s="18" t="str">
        <f t="shared" ca="1" si="2"/>
        <v>Pizza Hut</v>
      </c>
      <c r="C75" s="15" t="s">
        <v>25</v>
      </c>
      <c r="D75" s="15" t="s">
        <v>126</v>
      </c>
      <c r="E75" s="15" t="s">
        <v>45</v>
      </c>
      <c r="F75" s="15" t="s">
        <v>21</v>
      </c>
      <c r="G75" s="15" t="s">
        <v>248</v>
      </c>
      <c r="H75" s="15" t="s">
        <v>249</v>
      </c>
      <c r="I75" s="15" t="s">
        <v>250</v>
      </c>
      <c r="J75" s="14" t="s">
        <v>20</v>
      </c>
      <c r="K75" s="8"/>
      <c r="L75" s="16" t="str">
        <f ca="1">IFERROR(__xludf.DUMMYFUNCTION("""COMPUTED_VALUE"""),"Pizza Hut")</f>
        <v>Pizza Hut</v>
      </c>
      <c r="M75" s="16"/>
      <c r="N75" s="16" t="str">
        <f ca="1">IFERROR(__xludf.DUMMYFUNCTION("""COMPUTED_VALUE"""),"Press Release")</f>
        <v>Press Release</v>
      </c>
      <c r="O75" s="17" t="str">
        <f ca="1">IFERROR(__xludf.DUMMYFUNCTION("""COMPUTED_VALUE"""),"https://www.yum.com/wps/portal/yumbrands/Yumbrands/news/!ut/p/z1/jY9BC4JAFIR_SwevvqeiLt1ECFPJ9iDaXmINU8NcWTf9-0l1EUp6t3l8M8MAgxxYx8em4qoRHW9nfWLOmdDIDDDBA0l9G6lpRPt45xqYGpC9APxxHgL7x78CsPX4DNiyIiGJg9T3rSCkrkWOzgdYyQiBVa0o3nO9rrBIBUyW11KWUn_I-V0r1Q9bDTWcpk"&amp;"kvL2JouC5kpeE3Sy0GBfmShP6e5niz2zH2Nk-wKkOn/?urile=wcm:oid:e2997638-c9e7-4619-bb35-443fd57eeab9")</f>
        <v>https://www.yum.com/wps/portal/yumbrands/Yumbrands/news/!ut/p/z1/jY9BC4JAFIR_SwevvqeiLt1ECFPJ9iDaXmINU8NcWTf9-0l1EUp6t3l8M8MAgxxYx8em4qoRHW9nfWLOmdDIDDDBA0l9G6lpRPt45xqYGpC9APxxHgL7x78CsPX4DNiyIiGJg9T3rSCkrkWOzgdYyQiBVa0o3nO9rrBIBUyW11KWUn_I-V0r1Q9bDTWcpkkvL2JouC5kpeE3Sy0GBfmShP6e5niz2zH2Nk-wKkOn/?urile=wcm:oid:e2997638-c9e7-4619-bb35-443fd57eeab9</v>
      </c>
    </row>
    <row r="76" spans="1:15" ht="14.6">
      <c r="A76" s="1"/>
      <c r="B76" s="18" t="str">
        <f t="shared" ca="1" si="2"/>
        <v>ECHO Realty</v>
      </c>
      <c r="C76" s="15" t="s">
        <v>41</v>
      </c>
      <c r="D76" s="15" t="s">
        <v>30</v>
      </c>
      <c r="E76" s="15" t="s">
        <v>60</v>
      </c>
      <c r="F76" s="15" t="s">
        <v>21</v>
      </c>
      <c r="G76" s="15" t="s">
        <v>86</v>
      </c>
      <c r="H76" s="15" t="s">
        <v>279</v>
      </c>
      <c r="I76" s="15" t="s">
        <v>280</v>
      </c>
      <c r="J76" s="14" t="str">
        <f t="shared" ca="1" si="3"/>
        <v>Press Release</v>
      </c>
      <c r="K76" s="8"/>
      <c r="L76" s="16" t="str">
        <f ca="1">IFERROR(__xludf.DUMMYFUNCTION("""COMPUTED_VALUE"""),"ECHO Realty")</f>
        <v>ECHO Realty</v>
      </c>
      <c r="M76" s="16"/>
      <c r="N76" s="16" t="str">
        <f ca="1">IFERROR(__xludf.DUMMYFUNCTION("""COMPUTED_VALUE"""),"Press Release")</f>
        <v>Press Release</v>
      </c>
      <c r="O76" s="17" t="str">
        <f ca="1">IFERROR(__xludf.DUMMYFUNCTION("""COMPUTED_VALUE"""),"https://www.businesswire.com/news/home/20260604882009/en/TPG-Led-Investor-Group-Acquires-Grocery-Anchored-Retail-Leader-ECHO-Realty")</f>
        <v>https://www.businesswire.com/news/home/20260604882009/en/TPG-Led-Investor-Group-Acquires-Grocery-Anchored-Retail-Leader-ECHO-Realty</v>
      </c>
    </row>
    <row r="77" spans="1:15" ht="14.6">
      <c r="A77" s="1"/>
      <c r="B77" s="14" t="str">
        <f t="shared" ca="1" si="2"/>
        <v>Trinity Consultants</v>
      </c>
      <c r="C77" s="15" t="s">
        <v>44</v>
      </c>
      <c r="D77" s="15" t="s">
        <v>156</v>
      </c>
      <c r="E77" s="15"/>
      <c r="F77" s="15" t="s">
        <v>21</v>
      </c>
      <c r="G77" s="15" t="s">
        <v>66</v>
      </c>
      <c r="H77" s="15" t="s">
        <v>254</v>
      </c>
      <c r="I77" s="15" t="s">
        <v>359</v>
      </c>
      <c r="J77" s="14" t="str">
        <f t="shared" ca="1" si="3"/>
        <v>Press Release</v>
      </c>
      <c r="K77" s="8"/>
      <c r="L77" s="16" t="str">
        <f ca="1">IFERROR(__xludf.DUMMYFUNCTION("""COMPUTED_VALUE"""),"Trinity Consultants")</f>
        <v>Trinity Consultants</v>
      </c>
      <c r="M77" s="17" t="str">
        <f ca="1">IFERROR(__xludf.DUMMYFUNCTION("""COMPUTED_VALUE"""),"https://9fin.com/company/Trinity%20Consultants/overview")</f>
        <v>https://9fin.com/company/Trinity%20Consultants/overview</v>
      </c>
      <c r="N77" s="16" t="str">
        <f ca="1">IFERROR(__xludf.DUMMYFUNCTION("""COMPUTED_VALUE"""),"Press Release")</f>
        <v>Press Release</v>
      </c>
      <c r="O77" s="17" t="str">
        <f ca="1">IFERROR(__xludf.DUMMYFUNCTION("""COMPUTED_VALUE"""),"https://www.businesswire.com/news/home/20260805292442/en/Veritas-Capital-to-Acquire-Trinity-Consultants")</f>
        <v>https://www.businesswire.com/news/home/20260805292442/en/Veritas-Capital-to-Acquire-Trinity-Consultants</v>
      </c>
    </row>
    <row r="78" spans="1:15" ht="14.6">
      <c r="A78" s="1"/>
      <c r="B78" s="14" t="str">
        <f t="shared" ca="1" si="2"/>
        <v>IFF's Food Ingredients Business</v>
      </c>
      <c r="C78" s="15" t="s">
        <v>36</v>
      </c>
      <c r="D78" s="15" t="s">
        <v>30</v>
      </c>
      <c r="E78" s="15" t="s">
        <v>59</v>
      </c>
      <c r="F78" s="15" t="s">
        <v>21</v>
      </c>
      <c r="G78" s="15" t="s">
        <v>94</v>
      </c>
      <c r="H78" s="15" t="s">
        <v>229</v>
      </c>
      <c r="I78" s="15" t="s">
        <v>230</v>
      </c>
      <c r="J78" s="14" t="str">
        <f t="shared" ca="1" si="3"/>
        <v>Press Release</v>
      </c>
      <c r="K78" s="8"/>
      <c r="L78" s="16" t="str">
        <f ca="1">IFERROR(__xludf.DUMMYFUNCTION("""COMPUTED_VALUE"""),"IFF's Food Ingredients Business")</f>
        <v>IFF's Food Ingredients Business</v>
      </c>
      <c r="M78" s="17" t="str">
        <f ca="1">IFERROR(__xludf.DUMMYFUNCTION("""COMPUTED_VALUE"""),"https://9fin.com/company/International%20Flavors%20&amp;%20Fragrances/overview")</f>
        <v>https://9fin.com/company/International%20Flavors%20&amp;%20Fragrances/overview</v>
      </c>
      <c r="N78" s="16" t="str">
        <f ca="1">IFERROR(__xludf.DUMMYFUNCTION("""COMPUTED_VALUE"""),"Press Release")</f>
        <v>Press Release</v>
      </c>
      <c r="O78" s="17" t="str">
        <f ca="1">IFERROR(__xludf.DUMMYFUNCTION("""COMPUTED_VALUE"""),"https://www.cvc.com/media/news/2026/iff-enters-into-agreement-to-sell-its-food-ingredients-business-to-cvc/")</f>
        <v>https://www.cvc.com/media/news/2026/iff-enters-into-agreement-to-sell-its-food-ingredients-business-to-cvc/</v>
      </c>
    </row>
    <row r="79" spans="1:15" ht="14.6">
      <c r="A79" s="1"/>
      <c r="B79" s="14" t="str">
        <f t="shared" ca="1" si="2"/>
        <v>Arclight GCX</v>
      </c>
      <c r="C79" s="15" t="s">
        <v>18</v>
      </c>
      <c r="D79" s="15" t="s">
        <v>30</v>
      </c>
      <c r="E79" s="15" t="s">
        <v>114</v>
      </c>
      <c r="F79" s="15" t="s">
        <v>21</v>
      </c>
      <c r="G79" s="15" t="s">
        <v>236</v>
      </c>
      <c r="H79" s="15" t="s">
        <v>235</v>
      </c>
      <c r="I79" s="15" t="s">
        <v>237</v>
      </c>
      <c r="J79" s="14" t="str">
        <f t="shared" ca="1" si="3"/>
        <v>Press Release</v>
      </c>
      <c r="K79" s="8"/>
      <c r="L79" s="16" t="str">
        <f ca="1">IFERROR(__xludf.DUMMYFUNCTION("""COMPUTED_VALUE"""),"Arclight GCX")</f>
        <v>Arclight GCX</v>
      </c>
      <c r="M79" s="17" t="str">
        <f ca="1">IFERROR(__xludf.DUMMYFUNCTION("""COMPUTED_VALUE"""),"https://9fin.com/company/Arclight%20GCX/overview")</f>
        <v>https://9fin.com/company/Arclight%20GCX/overview</v>
      </c>
      <c r="N79" s="16" t="str">
        <f ca="1">IFERROR(__xludf.DUMMYFUNCTION("""COMPUTED_VALUE"""),"Press Release")</f>
        <v>Press Release</v>
      </c>
      <c r="O79" s="17" t="str">
        <f ca="1">IFERROR(__xludf.DUMMYFUNCTION("""COMPUTED_VALUE"""),"https://sec.9fin.com/Archives/edgar/data/1679688/000110465926066617/tm2615653d1_ex99-1.htm")</f>
        <v>https://sec.9fin.com/Archives/edgar/data/1679688/000110465926066617/tm2615653d1_ex99-1.htm</v>
      </c>
    </row>
    <row r="80" spans="1:15" ht="14.6">
      <c r="A80" s="1"/>
      <c r="B80" s="14" t="str">
        <f t="shared" ca="1" si="2"/>
        <v>Authentic Brands</v>
      </c>
      <c r="C80" s="15" t="s">
        <v>52</v>
      </c>
      <c r="D80" s="15" t="s">
        <v>110</v>
      </c>
      <c r="E80" s="15" t="s">
        <v>83</v>
      </c>
      <c r="F80" s="15" t="s">
        <v>19</v>
      </c>
      <c r="G80" s="15" t="s">
        <v>69</v>
      </c>
      <c r="H80" s="15" t="s">
        <v>91</v>
      </c>
      <c r="I80" s="15" t="s">
        <v>266</v>
      </c>
      <c r="J80" s="14" t="str">
        <f t="shared" ca="1" si="3"/>
        <v>Press Release</v>
      </c>
      <c r="K80" s="8"/>
      <c r="L80" s="16" t="str">
        <f ca="1">IFERROR(__xludf.DUMMYFUNCTION("""COMPUTED_VALUE"""),"Authentic Brands")</f>
        <v>Authentic Brands</v>
      </c>
      <c r="M80" s="17" t="str">
        <f ca="1">IFERROR(__xludf.DUMMYFUNCTION("""COMPUTED_VALUE"""),"https://9fin.com/company/Authentic%20Brands/overview")</f>
        <v>https://9fin.com/company/Authentic%20Brands/overview</v>
      </c>
      <c r="N80" s="16" t="str">
        <f ca="1">IFERROR(__xludf.DUMMYFUNCTION("""COMPUTED_VALUE"""),"Press Release")</f>
        <v>Press Release</v>
      </c>
      <c r="O80" s="17" t="str">
        <f ca="1">IFERROR(__xludf.DUMMYFUNCTION("""COMPUTED_VALUE"""),"https://www.businesswire.com/news/home/20260521532973/en/Kontoor-Brands-Enters-Into-Definitive-Agreement-to-Sell-Lee-Business-to-Authentic-Brands-Group")</f>
        <v>https://www.businesswire.com/news/home/20260521532973/en/Kontoor-Brands-Enters-Into-Definitive-Agreement-to-Sell-Lee-Business-to-Authentic-Brands-Group</v>
      </c>
    </row>
    <row r="81" spans="1:15" ht="14.6">
      <c r="A81" s="1"/>
      <c r="B81" s="14" t="str">
        <f t="shared" ca="1" si="2"/>
        <v>Grant Thornton</v>
      </c>
      <c r="C81" s="15" t="s">
        <v>18</v>
      </c>
      <c r="D81" s="15" t="s">
        <v>30</v>
      </c>
      <c r="E81" s="15" t="s">
        <v>212</v>
      </c>
      <c r="F81" s="15" t="s">
        <v>19</v>
      </c>
      <c r="G81" s="15" t="s">
        <v>93</v>
      </c>
      <c r="H81" s="15" t="s">
        <v>213</v>
      </c>
      <c r="I81" s="15" t="s">
        <v>214</v>
      </c>
      <c r="J81" s="14" t="str">
        <f t="shared" ca="1" si="3"/>
        <v>Press Release</v>
      </c>
      <c r="K81" s="8"/>
      <c r="L81" s="16" t="str">
        <f ca="1">IFERROR(__xludf.DUMMYFUNCTION("""COMPUTED_VALUE"""),"Grant Thornton")</f>
        <v>Grant Thornton</v>
      </c>
      <c r="M81" s="17" t="str">
        <f ca="1">IFERROR(__xludf.DUMMYFUNCTION("""COMPUTED_VALUE"""),"https://9fin.com/company/Grant%20Thornton/overview")</f>
        <v>https://9fin.com/company/Grant%20Thornton/overview</v>
      </c>
      <c r="N81" s="16" t="str">
        <f ca="1">IFERROR(__xludf.DUMMYFUNCTION("""COMPUTED_VALUE"""),"Press Release")</f>
        <v>Press Release</v>
      </c>
      <c r="O81" s="17" t="str">
        <f ca="1">IFERROR(__xludf.DUMMYFUNCTION("""COMPUTED_VALUE"""),"https://www.grantthornton.com/insights/press-releases/2026/april/grant-thornton-australia-joins-grant-thornton-advisors")</f>
        <v>https://www.grantthornton.com/insights/press-releases/2026/april/grant-thornton-australia-joins-grant-thornton-advisors</v>
      </c>
    </row>
    <row r="82" spans="1:15" ht="14.6">
      <c r="A82" s="1"/>
      <c r="B82" s="14" t="str">
        <f t="shared" ca="1" si="2"/>
        <v>GCI Liberty</v>
      </c>
      <c r="C82" s="15" t="s">
        <v>40</v>
      </c>
      <c r="D82" s="15" t="s">
        <v>30</v>
      </c>
      <c r="E82" s="15" t="s">
        <v>218</v>
      </c>
      <c r="F82" s="15" t="s">
        <v>19</v>
      </c>
      <c r="G82" s="15" t="s">
        <v>217</v>
      </c>
      <c r="H82" s="15" t="s">
        <v>219</v>
      </c>
      <c r="I82" s="15" t="s">
        <v>220</v>
      </c>
      <c r="J82" s="14" t="str">
        <f t="shared" ca="1" si="3"/>
        <v>Press Release</v>
      </c>
      <c r="K82" s="8"/>
      <c r="L82" s="16" t="str">
        <f ca="1">IFERROR(__xludf.DUMMYFUNCTION("""COMPUTED_VALUE"""),"GCI Liberty")</f>
        <v>GCI Liberty</v>
      </c>
      <c r="M82" s="17" t="str">
        <f ca="1">IFERROR(__xludf.DUMMYFUNCTION("""COMPUTED_VALUE"""),"https://9fin.com/company/GCI%20Liberty/overview")</f>
        <v>https://9fin.com/company/GCI%20Liberty/overview</v>
      </c>
      <c r="N82" s="16" t="str">
        <f ca="1">IFERROR(__xludf.DUMMYFUNCTION("""COMPUTED_VALUE"""),"Press Release")</f>
        <v>Press Release</v>
      </c>
      <c r="O82" s="17" t="str">
        <f ca="1">IFERROR(__xludf.DUMMYFUNCTION("""COMPUTED_VALUE"""),"https://sec.9fin.com/Archives/edgar/data/2057463/000110465926047805/tm2612513d1_8k.htm")</f>
        <v>https://sec.9fin.com/Archives/edgar/data/2057463/000110465926047805/tm2612513d1_8k.htm</v>
      </c>
    </row>
    <row r="83" spans="1:15" ht="14.6">
      <c r="A83" s="1"/>
      <c r="B83" s="18" t="str">
        <f t="shared" ca="1" si="2"/>
        <v>Boralex</v>
      </c>
      <c r="C83" s="15" t="s">
        <v>48</v>
      </c>
      <c r="D83" s="15" t="s">
        <v>156</v>
      </c>
      <c r="E83" s="15" t="s">
        <v>79</v>
      </c>
      <c r="F83" s="15" t="s">
        <v>21</v>
      </c>
      <c r="G83" s="15" t="s">
        <v>38</v>
      </c>
      <c r="H83" s="15" t="s">
        <v>202</v>
      </c>
      <c r="I83" s="15" t="s">
        <v>203</v>
      </c>
      <c r="J83" s="14" t="str">
        <f t="shared" ca="1" si="3"/>
        <v>Press Release</v>
      </c>
      <c r="K83" s="8"/>
      <c r="L83" s="16" t="str">
        <f ca="1">IFERROR(__xludf.DUMMYFUNCTION("""COMPUTED_VALUE"""),"Boralex")</f>
        <v>Boralex</v>
      </c>
      <c r="M83" s="16"/>
      <c r="N83" s="16" t="str">
        <f ca="1">IFERROR(__xludf.DUMMYFUNCTION("""COMPUTED_VALUE"""),"Press Release")</f>
        <v>Press Release</v>
      </c>
      <c r="O83" s="17" t="str">
        <f ca="1">IFERROR(__xludf.DUMMYFUNCTION("""COMPUTED_VALUE"""),"https://9fin.com/news/79555b10-2ef7-4ce4-8ef4-b1409a1de77b")</f>
        <v>https://9fin.com/news/79555b10-2ef7-4ce4-8ef4-b1409a1de77b</v>
      </c>
    </row>
    <row r="84" spans="1:15" ht="29.15">
      <c r="A84" s="1"/>
      <c r="B84" s="14" t="str">
        <f t="shared" ca="1" si="2"/>
        <v>Peak Utility Services</v>
      </c>
      <c r="C84" s="15" t="s">
        <v>31</v>
      </c>
      <c r="D84" s="15" t="s">
        <v>30</v>
      </c>
      <c r="E84" s="15"/>
      <c r="F84" s="15" t="s">
        <v>21</v>
      </c>
      <c r="G84" s="15" t="s">
        <v>194</v>
      </c>
      <c r="H84" s="15" t="s">
        <v>193</v>
      </c>
      <c r="I84" s="15" t="s">
        <v>195</v>
      </c>
      <c r="J84" s="14" t="str">
        <f t="shared" ca="1" si="3"/>
        <v>Press Release</v>
      </c>
      <c r="K84" s="8"/>
      <c r="L84" s="16" t="str">
        <f ca="1">IFERROR(__xludf.DUMMYFUNCTION("""COMPUTED_VALUE"""),"Peak Utility Services")</f>
        <v>Peak Utility Services</v>
      </c>
      <c r="M84" s="17" t="str">
        <f ca="1">IFERROR(__xludf.DUMMYFUNCTION("""COMPUTED_VALUE"""),"https://9fin.com/company/Peak%20Utility%20Services/overview")</f>
        <v>https://9fin.com/company/Peak%20Utility%20Services/overview</v>
      </c>
      <c r="N84" s="16" t="str">
        <f ca="1">IFERROR(__xludf.DUMMYFUNCTION("""COMPUTED_VALUE"""),"Press Release")</f>
        <v>Press Release</v>
      </c>
      <c r="O84" s="17" t="str">
        <f ca="1">IFERROR(__xludf.DUMMYFUNCTION("""COMPUTED_VALUE"""),"https://www.prnewswire.com/news-releases/greenbelt-capital-partners-agrees-to-acquire-peak-utility-services-group-from-orix-capital-partners-302710406.html")</f>
        <v>https://www.prnewswire.com/news-releases/greenbelt-capital-partners-agrees-to-acquire-peak-utility-services-group-from-orix-capital-partners-302710406.html</v>
      </c>
    </row>
    <row r="85" spans="1:15" ht="14.6">
      <c r="A85" s="1"/>
      <c r="B85" s="14" t="str">
        <f t="shared" ca="1" si="2"/>
        <v>Paradigm</v>
      </c>
      <c r="C85" s="15" t="s">
        <v>37</v>
      </c>
      <c r="D85" s="15" t="s">
        <v>88</v>
      </c>
      <c r="E85" s="15"/>
      <c r="F85" s="15" t="s">
        <v>21</v>
      </c>
      <c r="G85" s="15" t="s">
        <v>95</v>
      </c>
      <c r="H85" s="15" t="s">
        <v>173</v>
      </c>
      <c r="I85" s="15" t="s">
        <v>174</v>
      </c>
      <c r="J85" s="14" t="str">
        <f t="shared" ca="1" si="3"/>
        <v>Press Release</v>
      </c>
      <c r="K85" s="8"/>
      <c r="L85" s="16" t="str">
        <f ca="1">IFERROR(__xludf.DUMMYFUNCTION("""COMPUTED_VALUE"""),"Paradigm")</f>
        <v>Paradigm</v>
      </c>
      <c r="M85" s="17" t="str">
        <f ca="1">IFERROR(__xludf.DUMMYFUNCTION("""COMPUTED_VALUE"""),"https://9fin.com/company/Paradigm/overview")</f>
        <v>https://9fin.com/company/Paradigm/overview</v>
      </c>
      <c r="N85" s="16" t="str">
        <f ca="1">IFERROR(__xludf.DUMMYFUNCTION("""COMPUTED_VALUE"""),"Press Release")</f>
        <v>Press Release</v>
      </c>
      <c r="O85" s="17" t="str">
        <f ca="1">IFERROR(__xludf.DUMMYFUNCTION("""COMPUTED_VALUE"""),"https://www.businesswire.com/news/home/20260212969115/en/Paradigm-Signs-Definitive-Agreement-to-Be-Acquired-by-Patient-Square-Capital")</f>
        <v>https://www.businesswire.com/news/home/20260212969115/en/Paradigm-Signs-Definitive-Agreement-to-Be-Acquired-by-Patient-Square-Capital</v>
      </c>
    </row>
    <row r="86" spans="1:15" ht="14.6">
      <c r="A86" s="1"/>
      <c r="B86" s="14" t="str">
        <f t="shared" ca="1" si="2"/>
        <v>Sabre Industries</v>
      </c>
      <c r="C86" s="15" t="s">
        <v>36</v>
      </c>
      <c r="D86" s="15" t="s">
        <v>30</v>
      </c>
      <c r="E86" s="15"/>
      <c r="F86" s="15" t="s">
        <v>21</v>
      </c>
      <c r="G86" s="15" t="s">
        <v>86</v>
      </c>
      <c r="H86" s="15" t="s">
        <v>183</v>
      </c>
      <c r="I86" s="15" t="s">
        <v>184</v>
      </c>
      <c r="J86" s="14" t="str">
        <f t="shared" ca="1" si="3"/>
        <v>9fin</v>
      </c>
      <c r="K86" s="8"/>
      <c r="L86" s="16" t="str">
        <f ca="1">IFERROR(__xludf.DUMMYFUNCTION("""COMPUTED_VALUE"""),"Sabre Industries")</f>
        <v>Sabre Industries</v>
      </c>
      <c r="M86" s="17" t="str">
        <f ca="1">IFERROR(__xludf.DUMMYFUNCTION("""COMPUTED_VALUE"""),"https://9fin.com/company/Sabre%20Industries/overview")</f>
        <v>https://9fin.com/company/Sabre%20Industries/overview</v>
      </c>
      <c r="N86" s="16" t="str">
        <f ca="1">IFERROR(__xludf.DUMMYFUNCTION("""COMPUTED_VALUE"""),"9fin")</f>
        <v>9fin</v>
      </c>
      <c r="O86" s="17" t="str">
        <f ca="1">IFERROR(__xludf.DUMMYFUNCTION("""COMPUTED_VALUE"""),"https://9fin.com/news/527c9045-735f-4096-b00b-3e6522d10318")</f>
        <v>https://9fin.com/news/527c9045-735f-4096-b00b-3e6522d10318</v>
      </c>
    </row>
    <row r="87" spans="1:15" ht="14.6">
      <c r="A87" s="1"/>
      <c r="B87" s="18" t="str">
        <f t="shared" ca="1" si="2"/>
        <v>IonQ</v>
      </c>
      <c r="C87" s="15" t="s">
        <v>22</v>
      </c>
      <c r="D87" s="15" t="s">
        <v>126</v>
      </c>
      <c r="E87" s="15" t="s">
        <v>56</v>
      </c>
      <c r="F87" s="15" t="s">
        <v>19</v>
      </c>
      <c r="G87" s="15" t="s">
        <v>159</v>
      </c>
      <c r="H87" s="15" t="s">
        <v>160</v>
      </c>
      <c r="I87" s="15" t="s">
        <v>161</v>
      </c>
      <c r="J87" s="14" t="str">
        <f t="shared" ca="1" si="3"/>
        <v>Press Release</v>
      </c>
      <c r="K87" s="8"/>
      <c r="L87" s="16" t="str">
        <f ca="1">IFERROR(__xludf.DUMMYFUNCTION("""COMPUTED_VALUE"""),"IonQ")</f>
        <v>IonQ</v>
      </c>
      <c r="M87" s="16"/>
      <c r="N87" s="16" t="str">
        <f ca="1">IFERROR(__xludf.DUMMYFUNCTION("""COMPUTED_VALUE"""),"Press Release")</f>
        <v>Press Release</v>
      </c>
      <c r="O87" s="17" t="str">
        <f ca="1">IFERROR(__xludf.DUMMYFUNCTION("""COMPUTED_VALUE"""),"https://www.ionq.com/news/ionq-to-acquire-skywater-technology-creating-the-only-vertically-integrated-full-stack-quantum-platform-company")</f>
        <v>https://www.ionq.com/news/ionq-to-acquire-skywater-technology-creating-the-only-vertically-integrated-full-stack-quantum-platform-company</v>
      </c>
    </row>
    <row r="88" spans="1:15" ht="14.6">
      <c r="A88" s="1"/>
      <c r="B88" s="14" t="str">
        <f t="shared" ca="1" si="2"/>
        <v>Cvent</v>
      </c>
      <c r="C88" s="15" t="s">
        <v>22</v>
      </c>
      <c r="D88" s="15" t="s">
        <v>88</v>
      </c>
      <c r="E88" s="15" t="s">
        <v>152</v>
      </c>
      <c r="F88" s="15" t="s">
        <v>19</v>
      </c>
      <c r="G88" s="15" t="s">
        <v>99</v>
      </c>
      <c r="H88" s="15" t="s">
        <v>153</v>
      </c>
      <c r="I88" s="15" t="s">
        <v>154</v>
      </c>
      <c r="J88" s="14" t="str">
        <f t="shared" ca="1" si="3"/>
        <v>Press Release</v>
      </c>
      <c r="K88" s="8"/>
      <c r="L88" s="16" t="str">
        <f ca="1">IFERROR(__xludf.DUMMYFUNCTION("""COMPUTED_VALUE"""),"Cvent")</f>
        <v>Cvent</v>
      </c>
      <c r="M88" s="17" t="str">
        <f ca="1">IFERROR(__xludf.DUMMYFUNCTION("""COMPUTED_VALUE"""),"https://9fin.com/company/Cvent/overview")</f>
        <v>https://9fin.com/company/Cvent/overview</v>
      </c>
      <c r="N88" s="16" t="str">
        <f ca="1">IFERROR(__xludf.DUMMYFUNCTION("""COMPUTED_VALUE"""),"Press Release")</f>
        <v>Press Release</v>
      </c>
      <c r="O88" s="17" t="str">
        <f ca="1">IFERROR(__xludf.DUMMYFUNCTION("""COMPUTED_VALUE"""),"https://www.cvent.com/en/press-release/on24-enters-definitive-agreement-be-acquired-cvent")</f>
        <v>https://www.cvent.com/en/press-release/on24-enters-definitive-agreement-be-acquired-cvent</v>
      </c>
    </row>
    <row r="89" spans="1:15" ht="14.6">
      <c r="A89" s="1"/>
      <c r="B89" s="14" t="str">
        <f t="shared" ca="1" si="2"/>
        <v>Novaria Group</v>
      </c>
      <c r="C89" s="15" t="s">
        <v>36</v>
      </c>
      <c r="D89" s="15" t="s">
        <v>30</v>
      </c>
      <c r="E89" s="15" t="s">
        <v>72</v>
      </c>
      <c r="F89" s="15" t="s">
        <v>21</v>
      </c>
      <c r="G89" s="15" t="s">
        <v>90</v>
      </c>
      <c r="H89" s="15" t="s">
        <v>141</v>
      </c>
      <c r="I89" s="15" t="s">
        <v>142</v>
      </c>
      <c r="J89" s="14" t="str">
        <f t="shared" ca="1" si="3"/>
        <v>Press Release</v>
      </c>
      <c r="K89" s="8"/>
      <c r="L89" s="16" t="str">
        <f ca="1">IFERROR(__xludf.DUMMYFUNCTION("""COMPUTED_VALUE"""),"Novaria Group")</f>
        <v>Novaria Group</v>
      </c>
      <c r="M89" s="17" t="str">
        <f ca="1">IFERROR(__xludf.DUMMYFUNCTION("""COMPUTED_VALUE"""),"https://9fin.com/company/Novaria%20Group/overview")</f>
        <v>https://9fin.com/company/Novaria%20Group/overview</v>
      </c>
      <c r="N89" s="16" t="str">
        <f ca="1">IFERROR(__xludf.DUMMYFUNCTION("""COMPUTED_VALUE"""),"Press Release")</f>
        <v>Press Release</v>
      </c>
      <c r="O89" s="17" t="str">
        <f ca="1">IFERROR(__xludf.DUMMYFUNCTION("""COMPUTED_VALUE"""),"https://www.prnewswire.com/news-releases/arcline-investment-management-to-acquire-novaria-group-302610070.html")</f>
        <v>https://www.prnewswire.com/news-releases/arcline-investment-management-to-acquire-novaria-group-302610070.html</v>
      </c>
    </row>
    <row r="90" spans="1:15" ht="14.6">
      <c r="A90" s="1"/>
      <c r="B90" s="14" t="str">
        <f t="shared" ca="1" si="2"/>
        <v>Aquarian</v>
      </c>
      <c r="C90" s="15" t="s">
        <v>18</v>
      </c>
      <c r="D90" s="15" t="s">
        <v>360</v>
      </c>
      <c r="E90" s="15" t="s">
        <v>144</v>
      </c>
      <c r="F90" s="15" t="s">
        <v>19</v>
      </c>
      <c r="G90" s="15" t="s">
        <v>143</v>
      </c>
      <c r="H90" s="15" t="s">
        <v>75</v>
      </c>
      <c r="I90" s="15" t="s">
        <v>145</v>
      </c>
      <c r="J90" s="14" t="str">
        <f t="shared" ca="1" si="3"/>
        <v>Press Release</v>
      </c>
      <c r="K90" s="8"/>
      <c r="L90" s="16" t="str">
        <f ca="1">IFERROR(__xludf.DUMMYFUNCTION("""COMPUTED_VALUE"""),"Aquarian")</f>
        <v>Aquarian</v>
      </c>
      <c r="M90" s="17" t="str">
        <f ca="1">IFERROR(__xludf.DUMMYFUNCTION("""COMPUTED_VALUE"""),"https://9fin.com/company/Aquarian/overview")</f>
        <v>https://9fin.com/company/Aquarian/overview</v>
      </c>
      <c r="N90" s="16" t="str">
        <f ca="1">IFERROR(__xludf.DUMMYFUNCTION("""COMPUTED_VALUE"""),"Press Release")</f>
        <v>Press Release</v>
      </c>
      <c r="O90" s="17" t="str">
        <f ca="1">IFERROR(__xludf.DUMMYFUNCTION("""COMPUTED_VALUE"""),"https://www.businesswire.com/news/home/20251106216739/en/Aquarian-Capital-to-Acquire-Brighthouse-Financial")</f>
        <v>https://www.businesswire.com/news/home/20251106216739/en/Aquarian-Capital-to-Acquire-Brighthouse-Financial</v>
      </c>
    </row>
    <row r="91" spans="1:15" ht="29.15">
      <c r="A91" s="1"/>
      <c r="B91" s="14" t="str">
        <f t="shared" ca="1" si="2"/>
        <v>Park Place</v>
      </c>
      <c r="C91" s="15" t="s">
        <v>44</v>
      </c>
      <c r="D91" s="15" t="s">
        <v>30</v>
      </c>
      <c r="E91" s="15"/>
      <c r="F91" s="15" t="s">
        <v>21</v>
      </c>
      <c r="G91" s="15" t="s">
        <v>123</v>
      </c>
      <c r="H91" s="15" t="s">
        <v>122</v>
      </c>
      <c r="I91" s="15" t="s">
        <v>124</v>
      </c>
      <c r="J91" s="14" t="str">
        <f t="shared" ca="1" si="3"/>
        <v>Press Release</v>
      </c>
      <c r="K91" s="8"/>
      <c r="L91" s="16" t="str">
        <f ca="1">IFERROR(__xludf.DUMMYFUNCTION("""COMPUTED_VALUE"""),"Park Place")</f>
        <v>Park Place</v>
      </c>
      <c r="M91" s="17" t="str">
        <f ca="1">IFERROR(__xludf.DUMMYFUNCTION("""COMPUTED_VALUE"""),"https://9fin.com/company/Park%20Place/overview")</f>
        <v>https://9fin.com/company/Park%20Place/overview</v>
      </c>
      <c r="N91" s="16" t="str">
        <f ca="1">IFERROR(__xludf.DUMMYFUNCTION("""COMPUTED_VALUE"""),"Press Release")</f>
        <v>Press Release</v>
      </c>
      <c r="O91" s="17" t="str">
        <f ca="1">IFERROR(__xludf.DUMMYFUNCTION("""COMPUTED_VALUE"""),"https://www.prnewswire.com/news-releases/service-express-and-park-place-to-merge-with-a-shared-focus-on-growth-and-customer-service-302551708.html")</f>
        <v>https://www.prnewswire.com/news-releases/service-express-and-park-place-to-merge-with-a-shared-focus-on-growth-and-customer-service-302551708.html</v>
      </c>
    </row>
    <row r="92" spans="1:15" ht="14.6">
      <c r="A92" s="1"/>
      <c r="B92" s="14" t="str">
        <f t="shared" ca="1" si="2"/>
        <v>Pave America</v>
      </c>
      <c r="C92" s="15" t="s">
        <v>44</v>
      </c>
      <c r="D92" s="15" t="s">
        <v>30</v>
      </c>
      <c r="E92" s="15"/>
      <c r="F92" s="15" t="s">
        <v>21</v>
      </c>
      <c r="G92" s="15" t="s">
        <v>120</v>
      </c>
      <c r="H92" s="15" t="s">
        <v>119</v>
      </c>
      <c r="I92" s="15" t="s">
        <v>121</v>
      </c>
      <c r="J92" s="14" t="str">
        <f t="shared" ca="1" si="3"/>
        <v>Press Release</v>
      </c>
      <c r="K92" s="8"/>
      <c r="L92" s="16" t="str">
        <f ca="1">IFERROR(__xludf.DUMMYFUNCTION("""COMPUTED_VALUE"""),"Pave America")</f>
        <v>Pave America</v>
      </c>
      <c r="M92" s="17" t="str">
        <f ca="1">IFERROR(__xludf.DUMMYFUNCTION("""COMPUTED_VALUE"""),"https://9fin.com/company/Pave%20America/overview")</f>
        <v>https://9fin.com/company/Pave%20America/overview</v>
      </c>
      <c r="N92" s="16" t="str">
        <f ca="1">IFERROR(__xludf.DUMMYFUNCTION("""COMPUTED_VALUE"""),"Press Release")</f>
        <v>Press Release</v>
      </c>
      <c r="O92" s="17" t="str">
        <f ca="1">IFERROR(__xludf.DUMMYFUNCTION("""COMPUTED_VALUE"""),"https://www.prnewswire.com/news-releases/aea-investors-and-bci-acquire-pave-america-302550202.html")</f>
        <v>https://www.prnewswire.com/news-releases/aea-investors-and-bci-acquire-pave-america-302550202.html</v>
      </c>
    </row>
    <row r="93" spans="1:15" ht="14.6">
      <c r="A93" s="1"/>
      <c r="B93" s="14" t="str">
        <f t="shared" ca="1" si="2"/>
        <v>Altera Infrastructure</v>
      </c>
      <c r="C93" s="15" t="s">
        <v>36</v>
      </c>
      <c r="D93" s="15" t="s">
        <v>30</v>
      </c>
      <c r="E93" s="15"/>
      <c r="F93" s="15" t="s">
        <v>21</v>
      </c>
      <c r="G93" s="15" t="s">
        <v>51</v>
      </c>
      <c r="H93" s="15" t="s">
        <v>116</v>
      </c>
      <c r="I93" s="15" t="s">
        <v>117</v>
      </c>
      <c r="J93" s="14" t="str">
        <f t="shared" ca="1" si="3"/>
        <v>Press Release</v>
      </c>
      <c r="K93" s="8"/>
      <c r="L93" s="16" t="str">
        <f ca="1">IFERROR(__xludf.DUMMYFUNCTION("""COMPUTED_VALUE"""),"Altera Infrastructure")</f>
        <v>Altera Infrastructure</v>
      </c>
      <c r="M93" s="17" t="str">
        <f ca="1">IFERROR(__xludf.DUMMYFUNCTION("""COMPUTED_VALUE"""),"https://9fin.com/company/Altera%20Infrastructure/overview")</f>
        <v>https://9fin.com/company/Altera%20Infrastructure/overview</v>
      </c>
      <c r="N93" s="16" t="str">
        <f ca="1">IFERROR(__xludf.DUMMYFUNCTION("""COMPUTED_VALUE"""),"Press Release")</f>
        <v>Press Release</v>
      </c>
      <c r="O93" s="17" t="str">
        <f ca="1">IFERROR(__xludf.DUMMYFUNCTION("""COMPUTED_VALUE"""),"https://www.carlyle.com/media-room/news-release-archive/carlyle-acquire-altera-infrastructure-group%E2%80%99s-fpso-business")</f>
        <v>https://www.carlyle.com/media-room/news-release-archive/carlyle-acquire-altera-infrastructure-group%E2%80%99s-fpso-business</v>
      </c>
    </row>
    <row r="94" spans="1:15" ht="29.15">
      <c r="A94" s="1"/>
      <c r="B94" s="14" t="str">
        <f t="shared" ca="1" si="2"/>
        <v>Global Infrastructure Partners</v>
      </c>
      <c r="C94" s="15" t="s">
        <v>34</v>
      </c>
      <c r="D94" s="15" t="s">
        <v>30</v>
      </c>
      <c r="E94" s="15"/>
      <c r="F94" s="15" t="s">
        <v>19</v>
      </c>
      <c r="G94" s="15" t="s">
        <v>111</v>
      </c>
      <c r="H94" s="15" t="s">
        <v>112</v>
      </c>
      <c r="I94" s="15" t="s">
        <v>113</v>
      </c>
      <c r="J94" s="14" t="str">
        <f t="shared" ca="1" si="3"/>
        <v>Press Release</v>
      </c>
      <c r="K94" s="8"/>
      <c r="L94" s="16" t="str">
        <f ca="1">IFERROR(__xludf.DUMMYFUNCTION("""COMPUTED_VALUE"""),"Global Infrastructure Partners")</f>
        <v>Global Infrastructure Partners</v>
      </c>
      <c r="M94" s="17" t="str">
        <f ca="1">IFERROR(__xludf.DUMMYFUNCTION("""COMPUTED_VALUE"""),"https://9fin.com/company/GIP%20Pilot/overview")</f>
        <v>https://9fin.com/company/GIP%20Pilot/overview</v>
      </c>
      <c r="N94" s="16" t="str">
        <f ca="1">IFERROR(__xludf.DUMMYFUNCTION("""COMPUTED_VALUE"""),"Press Release")</f>
        <v>Press Release</v>
      </c>
      <c r="O94" s="17" t="str">
        <f ca="1">IFERROR(__xludf.DUMMYFUNCTION("""COMPUTED_VALUE"""),"https://www.businesswire.com/news/home/20250817506469/fr")</f>
        <v>https://www.businesswire.com/news/home/20250817506469/fr</v>
      </c>
    </row>
    <row r="95" spans="1:15" ht="29.15">
      <c r="A95" s="1"/>
      <c r="B95" s="14" t="str">
        <f t="shared" ca="1" si="2"/>
        <v>BMO Transportation Finance</v>
      </c>
      <c r="C95" s="15" t="s">
        <v>18</v>
      </c>
      <c r="D95" s="15" t="s">
        <v>30</v>
      </c>
      <c r="E95" s="15" t="s">
        <v>106</v>
      </c>
      <c r="F95" s="15" t="s">
        <v>21</v>
      </c>
      <c r="G95" s="15"/>
      <c r="H95" s="15" t="s">
        <v>107</v>
      </c>
      <c r="I95" s="15" t="s">
        <v>108</v>
      </c>
      <c r="J95" s="14" t="str">
        <f t="shared" ca="1" si="3"/>
        <v>Press Release</v>
      </c>
      <c r="K95" s="8"/>
      <c r="L95" s="16" t="str">
        <f ca="1">IFERROR(__xludf.DUMMYFUNCTION("""COMPUTED_VALUE"""),"BMO Transportation Finance")</f>
        <v>BMO Transportation Finance</v>
      </c>
      <c r="M95" s="17" t="str">
        <f ca="1">IFERROR(__xludf.DUMMYFUNCTION("""COMPUTED_VALUE"""),"https://9fin.com/company/BMO%20Transportation%20Finance/overview")</f>
        <v>https://9fin.com/company/BMO%20Transportation%20Finance/overview</v>
      </c>
      <c r="N95" s="16" t="str">
        <f ca="1">IFERROR(__xludf.DUMMYFUNCTION("""COMPUTED_VALUE"""),"Press Release")</f>
        <v>Press Release</v>
      </c>
      <c r="O95" s="17" t="str">
        <f ca="1">IFERROR(__xludf.DUMMYFUNCTION("""COMPUTED_VALUE"""),"https://newsroom.bmo.com/2026-05-11-BMO-Announces-Strategic-Sale-of-Transportation-and-Vendor-Finance-Businesses")</f>
        <v>https://newsroom.bmo.com/2026-05-11-BMO-Announces-Strategic-Sale-of-Transportation-and-Vendor-Finance-Businesses</v>
      </c>
    </row>
    <row r="96" spans="1:15" ht="14.6">
      <c r="A96" s="1"/>
      <c r="B96" s="14" t="str">
        <f t="shared" ca="1" si="2"/>
        <v>Stream Data Centers</v>
      </c>
      <c r="C96" s="15" t="s">
        <v>47</v>
      </c>
      <c r="D96" s="15" t="s">
        <v>30</v>
      </c>
      <c r="E96" s="15"/>
      <c r="F96" s="15" t="s">
        <v>21</v>
      </c>
      <c r="G96" s="15"/>
      <c r="H96" s="15"/>
      <c r="I96" s="15" t="s">
        <v>105</v>
      </c>
      <c r="J96" s="14" t="str">
        <f t="shared" ca="1" si="3"/>
        <v>Bloomberg</v>
      </c>
      <c r="K96" s="8"/>
      <c r="L96" s="16" t="str">
        <f ca="1">IFERROR(__xludf.DUMMYFUNCTION("""COMPUTED_VALUE"""),"Stream Data Centers")</f>
        <v>Stream Data Centers</v>
      </c>
      <c r="M96" s="17" t="str">
        <f ca="1">IFERROR(__xludf.DUMMYFUNCTION("""COMPUTED_VALUE"""),"https://9fin.com/company/Stream%20Data%20Centers/overview")</f>
        <v>https://9fin.com/company/Stream%20Data%20Centers/overview</v>
      </c>
      <c r="N96" s="16" t="str">
        <f ca="1">IFERROR(__xludf.DUMMYFUNCTION("""COMPUTED_VALUE"""),"Bloomberg")</f>
        <v>Bloomberg</v>
      </c>
      <c r="O96" s="17" t="str">
        <f ca="1">IFERROR(__xludf.DUMMYFUNCTION("""COMPUTED_VALUE"""),"https://www.bloomberg.com/news/articles/2025-08-06/apollo-global-to-buy-builder-of-large-scale-us-data-centers")</f>
        <v>https://www.bloomberg.com/news/articles/2025-08-06/apollo-global-to-buy-builder-of-large-scale-us-data-centers</v>
      </c>
    </row>
    <row r="97" spans="1:15" ht="14.6">
      <c r="A97" s="1"/>
      <c r="B97" s="14" t="str">
        <f t="shared" ca="1" si="2"/>
        <v>Red Oak Power</v>
      </c>
      <c r="C97" s="15" t="s">
        <v>57</v>
      </c>
      <c r="D97" s="15" t="s">
        <v>30</v>
      </c>
      <c r="E97" s="15"/>
      <c r="F97" s="15" t="s">
        <v>21</v>
      </c>
      <c r="G97" s="15" t="s">
        <v>87</v>
      </c>
      <c r="H97" s="15" t="s">
        <v>100</v>
      </c>
      <c r="I97" s="15" t="s">
        <v>101</v>
      </c>
      <c r="J97" s="14" t="str">
        <f t="shared" ca="1" si="3"/>
        <v>Press Release</v>
      </c>
      <c r="K97" s="8"/>
      <c r="L97" s="26" t="str">
        <f ca="1">IFERROR(__xludf.DUMMYFUNCTION("""COMPUTED_VALUE"""),"Red Oak Power")</f>
        <v>Red Oak Power</v>
      </c>
      <c r="M97" s="27" t="str">
        <f ca="1">IFERROR(__xludf.DUMMYFUNCTION("""COMPUTED_VALUE"""),"https://9fin.com/company/Red%20Oak%20Power/overview")</f>
        <v>https://9fin.com/company/Red%20Oak%20Power/overview</v>
      </c>
      <c r="N97" s="26" t="str">
        <f ca="1">IFERROR(__xludf.DUMMYFUNCTION("""COMPUTED_VALUE"""),"Press Release")</f>
        <v>Press Release</v>
      </c>
      <c r="O97" s="27" t="str">
        <f ca="1">IFERROR(__xludf.DUMMYFUNCTION("""COMPUTED_VALUE"""),"https://www.prnewswire.com/news-releases/strategic-value-partners-announces-acquisition-of-red-oak-power-302500233.html")</f>
        <v>https://www.prnewswire.com/news-releases/strategic-value-partners-announces-acquisition-of-red-oak-power-302500233.html</v>
      </c>
    </row>
    <row r="98" spans="1:15" ht="12.9">
      <c r="A98" s="1"/>
      <c r="B98" s="26"/>
      <c r="C98" s="26"/>
      <c r="D98" s="26"/>
      <c r="E98" s="26"/>
      <c r="F98" s="26"/>
      <c r="G98" s="26"/>
      <c r="H98" s="26"/>
      <c r="I98" s="26"/>
      <c r="J98" s="26"/>
      <c r="K98" s="8"/>
      <c r="L98" s="26"/>
      <c r="M98" s="26"/>
      <c r="N98" s="26"/>
      <c r="O98" s="26"/>
    </row>
    <row r="99" spans="1:15" ht="18">
      <c r="A99" s="1"/>
      <c r="B99" s="10" t="s">
        <v>3</v>
      </c>
      <c r="C99" s="10"/>
      <c r="D99" s="10"/>
      <c r="E99" s="10"/>
      <c r="F99" s="10"/>
      <c r="G99" s="10"/>
      <c r="H99" s="10"/>
      <c r="I99" s="11"/>
      <c r="J99" s="11"/>
      <c r="K99" s="8"/>
      <c r="L99" s="10"/>
      <c r="M99" s="10"/>
      <c r="N99" s="10"/>
      <c r="O99" s="10"/>
    </row>
    <row r="100" spans="1:15" ht="18">
      <c r="A100" s="1"/>
      <c r="B100" s="24" t="s">
        <v>5</v>
      </c>
      <c r="C100" s="24" t="s">
        <v>6</v>
      </c>
      <c r="D100" s="24" t="s">
        <v>8</v>
      </c>
      <c r="E100" s="24" t="s">
        <v>9</v>
      </c>
      <c r="F100" s="24" t="s">
        <v>12</v>
      </c>
      <c r="G100" s="24"/>
      <c r="H100" s="24"/>
      <c r="I100" s="24"/>
      <c r="J100" s="25" t="s">
        <v>13</v>
      </c>
      <c r="K100" s="8"/>
      <c r="L100" s="10"/>
      <c r="M100" s="12" t="s">
        <v>15</v>
      </c>
      <c r="N100" s="12" t="s">
        <v>16</v>
      </c>
      <c r="O100" s="12" t="s">
        <v>17</v>
      </c>
    </row>
    <row r="101" spans="1:15" ht="15.75" customHeight="1">
      <c r="A101" s="1"/>
      <c r="B101" s="14" t="str">
        <f t="shared" ref="B101:B146" ca="1" si="4">HYPERLINK(M101,L101)</f>
        <v>Fullscript</v>
      </c>
      <c r="C101" s="15" t="s">
        <v>47</v>
      </c>
      <c r="D101" s="15"/>
      <c r="E101" s="28" t="s">
        <v>33</v>
      </c>
      <c r="F101" s="28" t="s">
        <v>355</v>
      </c>
      <c r="G101" s="28"/>
      <c r="H101" s="28"/>
      <c r="I101" s="28"/>
      <c r="J101" s="14" t="str">
        <f t="shared" ref="J101:J146" ca="1" si="5">HYPERLINK(O101,N101)</f>
        <v>9fin</v>
      </c>
      <c r="K101" s="8"/>
      <c r="L101" s="16" t="str">
        <f ca="1">IFERROR(__xludf.DUMMYFUNCTION("query(sort(filter(Main!$C9:$T538,Main!$B9:$B538=""Potential Debt Financing""),1,false),""select Col3,Col4,Col15,Col16"")"),"Fullscript")</f>
        <v>Fullscript</v>
      </c>
      <c r="M101" s="17" t="str">
        <f ca="1">IFERROR(__xludf.DUMMYFUNCTION("""COMPUTED_VALUE"""),"https://9fin.com/company/Fullscript/overview")</f>
        <v>https://9fin.com/company/Fullscript/overview</v>
      </c>
      <c r="N101" s="16" t="str">
        <f ca="1">IFERROR(__xludf.DUMMYFUNCTION("""COMPUTED_VALUE"""),"9fin")</f>
        <v>9fin</v>
      </c>
      <c r="O101" s="17" t="str">
        <f ca="1">IFERROR(__xludf.DUMMYFUNCTION("""COMPUTED_VALUE"""),"https://9fin.com/news/4b0255b7-77a5-4e73-9571-af09fcfe8afa")</f>
        <v>https://9fin.com/news/4b0255b7-77a5-4e73-9571-af09fcfe8afa</v>
      </c>
    </row>
    <row r="102" spans="1:15" ht="14.6">
      <c r="A102" s="1"/>
      <c r="B102" s="18" t="str">
        <f t="shared" ca="1" si="4"/>
        <v>Netrality Data Centers</v>
      </c>
      <c r="C102" s="15" t="s">
        <v>40</v>
      </c>
      <c r="D102" s="15" t="s">
        <v>28</v>
      </c>
      <c r="E102" s="28" t="s">
        <v>21</v>
      </c>
      <c r="F102" s="28" t="s">
        <v>339</v>
      </c>
      <c r="G102" s="28"/>
      <c r="H102" s="28"/>
      <c r="I102" s="28"/>
      <c r="J102" s="14" t="str">
        <f t="shared" ca="1" si="5"/>
        <v>Bloomberg</v>
      </c>
      <c r="K102" s="8"/>
      <c r="L102" s="16" t="str">
        <f ca="1">IFERROR(__xludf.DUMMYFUNCTION("""COMPUTED_VALUE"""),"Netrality Data Centers")</f>
        <v>Netrality Data Centers</v>
      </c>
      <c r="M102" s="16"/>
      <c r="N102" s="16" t="str">
        <f ca="1">IFERROR(__xludf.DUMMYFUNCTION("""COMPUTED_VALUE"""),"Bloomberg")</f>
        <v>Bloomberg</v>
      </c>
      <c r="O102" s="17" t="str">
        <f ca="1">IFERROR(__xludf.DUMMYFUNCTION("""COMPUTED_VALUE"""),"https://www.bloomberg.com/news/articles/2026-07-27/tpg-said-in-talks-to-buy-netrality-for-up-to-3-billion")</f>
        <v>https://www.bloomberg.com/news/articles/2026-07-27/tpg-said-in-talks-to-buy-netrality-for-up-to-3-billion</v>
      </c>
    </row>
    <row r="103" spans="1:15" ht="14.6">
      <c r="A103" s="1"/>
      <c r="B103" s="18" t="str">
        <f t="shared" ca="1" si="4"/>
        <v>Leonard Green &amp; Partners</v>
      </c>
      <c r="C103" s="15" t="s">
        <v>18</v>
      </c>
      <c r="D103" s="15"/>
      <c r="E103" s="28" t="s">
        <v>21</v>
      </c>
      <c r="F103" s="28" t="s">
        <v>348</v>
      </c>
      <c r="G103" s="28"/>
      <c r="H103" s="28"/>
      <c r="I103" s="28"/>
      <c r="J103" s="14" t="str">
        <f t="shared" ca="1" si="5"/>
        <v>Private Equity Wire</v>
      </c>
      <c r="K103" s="8"/>
      <c r="L103" s="16" t="str">
        <f ca="1">IFERROR(__xludf.DUMMYFUNCTION("""COMPUTED_VALUE"""),"Leonard Green &amp; Partners")</f>
        <v>Leonard Green &amp; Partners</v>
      </c>
      <c r="M103" s="16"/>
      <c r="N103" s="16" t="str">
        <f ca="1">IFERROR(__xludf.DUMMYFUNCTION("""COMPUTED_VALUE"""),"Private Equity Wire")</f>
        <v>Private Equity Wire</v>
      </c>
      <c r="O103" s="17" t="str">
        <f ca="1">IFERROR(__xludf.DUMMYFUNCTION("""COMPUTED_VALUE"""),"https://www.privateequitywire.co.uk/ares-weighs-acquisition-of-buyout-firm-leonard-green/")</f>
        <v>https://www.privateequitywire.co.uk/ares-weighs-acquisition-of-buyout-firm-leonard-green/</v>
      </c>
    </row>
    <row r="104" spans="1:15" ht="14.6">
      <c r="A104" s="1"/>
      <c r="B104" s="14" t="str">
        <f t="shared" ca="1" si="4"/>
        <v>Brown-Forman</v>
      </c>
      <c r="C104" s="15" t="s">
        <v>215</v>
      </c>
      <c r="D104" s="15"/>
      <c r="E104" s="28" t="s">
        <v>33</v>
      </c>
      <c r="F104" s="28" t="s">
        <v>328</v>
      </c>
      <c r="G104" s="28"/>
      <c r="H104" s="28"/>
      <c r="I104" s="28"/>
      <c r="J104" s="14" t="str">
        <f t="shared" ca="1" si="5"/>
        <v>Bloomberg</v>
      </c>
      <c r="K104" s="8"/>
      <c r="L104" s="16" t="str">
        <f ca="1">IFERROR(__xludf.DUMMYFUNCTION("""COMPUTED_VALUE"""),"Brown-Forman")</f>
        <v>Brown-Forman</v>
      </c>
      <c r="M104" s="17" t="str">
        <f ca="1">IFERROR(__xludf.DUMMYFUNCTION("""COMPUTED_VALUE"""),"https://9fin.com/company/Brown-Forman/overview")</f>
        <v>https://9fin.com/company/Brown-Forman/overview</v>
      </c>
      <c r="N104" s="16" t="str">
        <f ca="1">IFERROR(__xludf.DUMMYFUNCTION("""COMPUTED_VALUE"""),"Bloomberg")</f>
        <v>Bloomberg</v>
      </c>
      <c r="O104" s="17" t="str">
        <f ca="1">IFERROR(__xludf.DUMMYFUNCTION("""COMPUTED_VALUE"""),"https://www.bloomberg.com/news/articles/2026-07-26/brown-forman-says-it-rejected-sazerac-s-unsolicited-takeover-bid")</f>
        <v>https://www.bloomberg.com/news/articles/2026-07-26/brown-forman-says-it-rejected-sazerac-s-unsolicited-takeover-bid</v>
      </c>
    </row>
    <row r="105" spans="1:15" ht="14.6">
      <c r="A105" s="1"/>
      <c r="B105" s="14" t="str">
        <f t="shared" ca="1" si="4"/>
        <v>Berner Food &amp; Beverage</v>
      </c>
      <c r="C105" s="15" t="s">
        <v>43</v>
      </c>
      <c r="D105" s="15"/>
      <c r="E105" s="28" t="s">
        <v>33</v>
      </c>
      <c r="F105" s="28" t="s">
        <v>327</v>
      </c>
      <c r="G105" s="28"/>
      <c r="H105" s="28"/>
      <c r="I105" s="28"/>
      <c r="J105" s="14" t="str">
        <f t="shared" ca="1" si="5"/>
        <v>PE Hub</v>
      </c>
      <c r="K105" s="8"/>
      <c r="L105" s="16" t="str">
        <f ca="1">IFERROR(__xludf.DUMMYFUNCTION("""COMPUTED_VALUE"""),"Berner Food &amp; Beverage")</f>
        <v>Berner Food &amp; Beverage</v>
      </c>
      <c r="M105" s="17" t="str">
        <f ca="1">IFERROR(__xludf.DUMMYFUNCTION("""COMPUTED_VALUE"""),"https://9fin.com/company/Berner%20Food%20%26%20Beverage/overview")</f>
        <v>https://9fin.com/company/Berner%20Food%20%26%20Beverage/overview</v>
      </c>
      <c r="N105" s="16" t="str">
        <f ca="1">IFERROR(__xludf.DUMMYFUNCTION("""COMPUTED_VALUE"""),"PE Hub")</f>
        <v>PE Hub</v>
      </c>
      <c r="O105" s="17" t="str">
        <f ca="1">IFERROR(__xludf.DUMMYFUNCTION("""COMPUTED_VALUE"""),"https://www.pehub.com/exclusive-peak-rock-to-test-buyout-market-for-private-label-food-company-berner-sources-say/")</f>
        <v>https://www.pehub.com/exclusive-peak-rock-to-test-buyout-market-for-private-label-food-company-berner-sources-say/</v>
      </c>
    </row>
    <row r="106" spans="1:15" ht="14.6">
      <c r="A106" s="1"/>
      <c r="B106" s="14" t="str">
        <f t="shared" ca="1" si="4"/>
        <v>SAI MedPartners</v>
      </c>
      <c r="C106" s="15" t="s">
        <v>44</v>
      </c>
      <c r="D106" s="15"/>
      <c r="E106" s="28" t="s">
        <v>33</v>
      </c>
      <c r="F106" s="28" t="s">
        <v>326</v>
      </c>
      <c r="G106" s="28"/>
      <c r="H106" s="28"/>
      <c r="I106" s="28"/>
      <c r="J106" s="14" t="str">
        <f t="shared" ca="1" si="5"/>
        <v>9fin</v>
      </c>
      <c r="K106" s="8"/>
      <c r="L106" s="16" t="str">
        <f ca="1">IFERROR(__xludf.DUMMYFUNCTION("""COMPUTED_VALUE"""),"SAI MedPartners")</f>
        <v>SAI MedPartners</v>
      </c>
      <c r="M106" s="17" t="str">
        <f ca="1">IFERROR(__xludf.DUMMYFUNCTION("""COMPUTED_VALUE"""),"https://9fin.com/company/SAI%20MedPartners/overview")</f>
        <v>https://9fin.com/company/SAI%20MedPartners/overview</v>
      </c>
      <c r="N106" s="16" t="str">
        <f ca="1">IFERROR(__xludf.DUMMYFUNCTION("""COMPUTED_VALUE"""),"9fin")</f>
        <v>9fin</v>
      </c>
      <c r="O106" s="17" t="str">
        <f ca="1">IFERROR(__xludf.DUMMYFUNCTION("""COMPUTED_VALUE"""),"https://9fin.com/news/northlane-sale-of-sai-medpartners-enters-final-stages-9fin-2026-07-17")</f>
        <v>https://9fin.com/news/northlane-sale-of-sai-medpartners-enters-final-stages-9fin-2026-07-17</v>
      </c>
    </row>
    <row r="107" spans="1:15" ht="14.6">
      <c r="A107" s="1"/>
      <c r="B107" s="14" t="str">
        <f t="shared" ca="1" si="4"/>
        <v>Baker Tilly</v>
      </c>
      <c r="C107" s="15" t="s">
        <v>18</v>
      </c>
      <c r="D107" s="15"/>
      <c r="E107" s="28" t="s">
        <v>333</v>
      </c>
      <c r="F107" s="28" t="s">
        <v>334</v>
      </c>
      <c r="G107" s="28"/>
      <c r="H107" s="28"/>
      <c r="I107" s="28"/>
      <c r="J107" s="14" t="str">
        <f t="shared" ca="1" si="5"/>
        <v>Bloomberg</v>
      </c>
      <c r="K107" s="8"/>
      <c r="L107" s="16" t="str">
        <f ca="1">IFERROR(__xludf.DUMMYFUNCTION("""COMPUTED_VALUE"""),"Baker Tilly")</f>
        <v>Baker Tilly</v>
      </c>
      <c r="M107" s="17" t="str">
        <f ca="1">IFERROR(__xludf.DUMMYFUNCTION("""COMPUTED_VALUE"""),"https://9fin.com/company/Baker%20Tilly/overview")</f>
        <v>https://9fin.com/company/Baker%20Tilly/overview</v>
      </c>
      <c r="N107" s="16" t="str">
        <f ca="1">IFERROR(__xludf.DUMMYFUNCTION("""COMPUTED_VALUE"""),"Bloomberg")</f>
        <v>Bloomberg</v>
      </c>
      <c r="O107" s="17" t="str">
        <f ca="1">IFERROR(__xludf.DUMMYFUNCTION("""COMPUTED_VALUE"""),"https://www.bloomberg.com/news/articles/2026-07-17/baker-tilly-eyes-3-billion-in-debt-to-replace-private-credit")</f>
        <v>https://www.bloomberg.com/news/articles/2026-07-17/baker-tilly-eyes-3-billion-in-debt-to-replace-private-credit</v>
      </c>
    </row>
    <row r="108" spans="1:15" ht="14.6">
      <c r="A108" s="1"/>
      <c r="B108" s="14" t="str">
        <f t="shared" ca="1" si="4"/>
        <v>Command Alkon</v>
      </c>
      <c r="C108" s="15" t="s">
        <v>22</v>
      </c>
      <c r="D108" s="15" t="s">
        <v>55</v>
      </c>
      <c r="E108" s="28" t="s">
        <v>21</v>
      </c>
      <c r="F108" s="28" t="s">
        <v>325</v>
      </c>
      <c r="G108" s="28"/>
      <c r="H108" s="28"/>
      <c r="I108" s="28"/>
      <c r="J108" s="14" t="str">
        <f t="shared" ca="1" si="5"/>
        <v>Bloomberg</v>
      </c>
      <c r="K108" s="8"/>
      <c r="L108" s="16" t="str">
        <f ca="1">IFERROR(__xludf.DUMMYFUNCTION("""COMPUTED_VALUE"""),"Command Alkon")</f>
        <v>Command Alkon</v>
      </c>
      <c r="M108" s="17" t="str">
        <f ca="1">IFERROR(__xludf.DUMMYFUNCTION("""COMPUTED_VALUE"""),"https://9fin.com/company/Command%20Alkon/overview")</f>
        <v>https://9fin.com/company/Command%20Alkon/overview</v>
      </c>
      <c r="N108" s="16" t="str">
        <f ca="1">IFERROR(__xludf.DUMMYFUNCTION("""COMPUTED_VALUE"""),"Bloomberg")</f>
        <v>Bloomberg</v>
      </c>
      <c r="O108" s="17" t="str">
        <f ca="1">IFERROR(__xludf.DUMMYFUNCTION("""COMPUTED_VALUE"""),"https://www.bloomberg.com/news/articles/2026-07-14/francisco-partners-nears-1-3-billion-deal-to-buy-command-alkon")</f>
        <v>https://www.bloomberg.com/news/articles/2026-07-14/francisco-partners-nears-1-3-billion-deal-to-buy-command-alkon</v>
      </c>
    </row>
    <row r="109" spans="1:15" ht="14.6">
      <c r="A109" s="1"/>
      <c r="B109" s="14" t="str">
        <f t="shared" ca="1" si="4"/>
        <v>Lionsgate</v>
      </c>
      <c r="C109" s="15" t="s">
        <v>29</v>
      </c>
      <c r="D109" s="15" t="s">
        <v>323</v>
      </c>
      <c r="E109" s="28" t="s">
        <v>33</v>
      </c>
      <c r="F109" s="28" t="s">
        <v>324</v>
      </c>
      <c r="G109" s="28"/>
      <c r="H109" s="28"/>
      <c r="I109" s="28"/>
      <c r="J109" s="14" t="str">
        <f t="shared" ca="1" si="5"/>
        <v>Bloomberg</v>
      </c>
      <c r="K109" s="8"/>
      <c r="L109" s="16" t="str">
        <f ca="1">IFERROR(__xludf.DUMMYFUNCTION("""COMPUTED_VALUE"""),"Lionsgate")</f>
        <v>Lionsgate</v>
      </c>
      <c r="M109" s="17" t="str">
        <f ca="1">IFERROR(__xludf.DUMMYFUNCTION("""COMPUTED_VALUE"""),"https://9fin.com/company/Lionsgate/overview")</f>
        <v>https://9fin.com/company/Lionsgate/overview</v>
      </c>
      <c r="N109" s="16" t="str">
        <f ca="1">IFERROR(__xludf.DUMMYFUNCTION("""COMPUTED_VALUE"""),"Bloomberg")</f>
        <v>Bloomberg</v>
      </c>
      <c r="O109" s="17" t="str">
        <f ca="1">IFERROR(__xludf.DUMMYFUNCTION("""COMPUTED_VALUE"""),"https://www.bloomberg.com/news/articles/2026-07-14/lionsgate-studios-said-to-explore-sale-amid-m-a-wave-reuters")</f>
        <v>https://www.bloomberg.com/news/articles/2026-07-14/lionsgate-studios-said-to-explore-sale-amid-m-a-wave-reuters</v>
      </c>
    </row>
    <row r="110" spans="1:15" ht="14.6">
      <c r="A110" s="1"/>
      <c r="B110" s="18" t="str">
        <f t="shared" ca="1" si="4"/>
        <v>Gain</v>
      </c>
      <c r="C110" s="15" t="s">
        <v>22</v>
      </c>
      <c r="D110" s="15" t="s">
        <v>81</v>
      </c>
      <c r="E110" s="28" t="s">
        <v>33</v>
      </c>
      <c r="F110" s="28" t="s">
        <v>335</v>
      </c>
      <c r="G110" s="28"/>
      <c r="H110" s="28"/>
      <c r="I110" s="28"/>
      <c r="J110" s="14" t="str">
        <f t="shared" ca="1" si="5"/>
        <v>Bloomberg</v>
      </c>
      <c r="K110" s="8"/>
      <c r="L110" s="16" t="str">
        <f ca="1">IFERROR(__xludf.DUMMYFUNCTION("""COMPUTED_VALUE"""),"Gain")</f>
        <v>Gain</v>
      </c>
      <c r="M110" s="16"/>
      <c r="N110" s="16" t="str">
        <f ca="1">IFERROR(__xludf.DUMMYFUNCTION("""COMPUTED_VALUE"""),"Bloomberg")</f>
        <v>Bloomberg</v>
      </c>
      <c r="O110" s="17" t="str">
        <f ca="1">IFERROR(__xludf.DUMMYFUNCTION("""COMPUTED_VALUE"""),"https://www.bloomberg.com/news/articles/2026-07-07/private-markets-data-firm-gain-seeks-500-million-valuation-sale")</f>
        <v>https://www.bloomberg.com/news/articles/2026-07-07/private-markets-data-firm-gain-seeks-500-million-valuation-sale</v>
      </c>
    </row>
    <row r="111" spans="1:15" ht="14.6">
      <c r="A111" s="1"/>
      <c r="B111" s="14" t="str">
        <f t="shared" ca="1" si="4"/>
        <v>Salsify</v>
      </c>
      <c r="C111" s="15" t="s">
        <v>47</v>
      </c>
      <c r="D111" s="15"/>
      <c r="E111" s="28" t="s">
        <v>33</v>
      </c>
      <c r="F111" s="28" t="s">
        <v>332</v>
      </c>
      <c r="G111" s="28"/>
      <c r="H111" s="28"/>
      <c r="I111" s="28"/>
      <c r="J111" s="14" t="str">
        <f t="shared" ca="1" si="5"/>
        <v>9fin</v>
      </c>
      <c r="K111" s="8"/>
      <c r="L111" s="16" t="str">
        <f ca="1">IFERROR(__xludf.DUMMYFUNCTION("""COMPUTED_VALUE"""),"Salsify")</f>
        <v>Salsify</v>
      </c>
      <c r="M111" s="17" t="str">
        <f ca="1">IFERROR(__xludf.DUMMYFUNCTION("""COMPUTED_VALUE"""),"https://9fin.com/company/Salsify/overview")</f>
        <v>https://9fin.com/company/Salsify/overview</v>
      </c>
      <c r="N111" s="16" t="str">
        <f ca="1">IFERROR(__xludf.DUMMYFUNCTION("""COMPUTED_VALUE"""),"9fin")</f>
        <v>9fin</v>
      </c>
      <c r="O111" s="17" t="str">
        <f ca="1">IFERROR(__xludf.DUMMYFUNCTION("""COMPUTED_VALUE"""),"https://9fin.com/news/tpg-backed-salsify-explores-sale-9fin-2026-07-06")</f>
        <v>https://9fin.com/news/tpg-backed-salsify-explores-sale-9fin-2026-07-06</v>
      </c>
    </row>
    <row r="112" spans="1:15" ht="29.15">
      <c r="A112" s="1"/>
      <c r="B112" s="14" t="str">
        <f t="shared" ca="1" si="4"/>
        <v>GFL Environmental</v>
      </c>
      <c r="C112" s="15" t="s">
        <v>32</v>
      </c>
      <c r="D112" s="15" t="s">
        <v>330</v>
      </c>
      <c r="E112" s="28" t="s">
        <v>33</v>
      </c>
      <c r="F112" s="28" t="s">
        <v>331</v>
      </c>
      <c r="G112" s="28"/>
      <c r="H112" s="28"/>
      <c r="I112" s="28"/>
      <c r="J112" s="14" t="str">
        <f t="shared" ca="1" si="5"/>
        <v>Bloomberg</v>
      </c>
      <c r="K112" s="8"/>
      <c r="L112" s="16" t="str">
        <f ca="1">IFERROR(__xludf.DUMMYFUNCTION("""COMPUTED_VALUE"""),"GFL Environmental")</f>
        <v>GFL Environmental</v>
      </c>
      <c r="M112" s="17" t="str">
        <f ca="1">IFERROR(__xludf.DUMMYFUNCTION("""COMPUTED_VALUE"""),"https://9fin.com/company/GFL%20Environmental/overview")</f>
        <v>https://9fin.com/company/GFL%20Environmental/overview</v>
      </c>
      <c r="N112" s="16" t="str">
        <f ca="1">IFERROR(__xludf.DUMMYFUNCTION("""COMPUTED_VALUE"""),"Bloomberg")</f>
        <v>Bloomberg</v>
      </c>
      <c r="O112" s="17" t="str">
        <f ca="1">IFERROR(__xludf.DUMMYFUNCTION("""COMPUTED_VALUE"""),"https://www.bloomberg.com/news/articles/2026-07-03/gfl-environmental-weighs-take-private-amid-interest-from-buyout-firms")</f>
        <v>https://www.bloomberg.com/news/articles/2026-07-03/gfl-environmental-weighs-take-private-amid-interest-from-buyout-firms</v>
      </c>
    </row>
    <row r="113" spans="1:15" ht="14.6">
      <c r="A113" s="1"/>
      <c r="B113" s="14" t="str">
        <f t="shared" ca="1" si="4"/>
        <v>Lyons Magnus</v>
      </c>
      <c r="C113" s="15" t="s">
        <v>43</v>
      </c>
      <c r="D113" s="15"/>
      <c r="E113" s="28" t="s">
        <v>33</v>
      </c>
      <c r="F113" s="28" t="s">
        <v>329</v>
      </c>
      <c r="G113" s="28"/>
      <c r="H113" s="28"/>
      <c r="I113" s="28"/>
      <c r="J113" s="14" t="str">
        <f t="shared" ca="1" si="5"/>
        <v>9fin</v>
      </c>
      <c r="K113" s="8"/>
      <c r="L113" s="16" t="str">
        <f ca="1">IFERROR(__xludf.DUMMYFUNCTION("""COMPUTED_VALUE"""),"Lyons Magnus")</f>
        <v>Lyons Magnus</v>
      </c>
      <c r="M113" s="17" t="str">
        <f ca="1">IFERROR(__xludf.DUMMYFUNCTION("""COMPUTED_VALUE"""),"https://9fin.com/company/Lyons%20Magnus/overview")</f>
        <v>https://9fin.com/company/Lyons%20Magnus/overview</v>
      </c>
      <c r="N113" s="16" t="str">
        <f ca="1">IFERROR(__xludf.DUMMYFUNCTION("""COMPUTED_VALUE"""),"9fin")</f>
        <v>9fin</v>
      </c>
      <c r="O113" s="17" t="str">
        <f ca="1">IFERROR(__xludf.DUMMYFUNCTION("""COMPUTED_VALUE"""),"https://9fin.com/news/food-ingredients-producer-lyons-magnus-explores-sale-9fin-2026-07-01")</f>
        <v>https://9fin.com/news/food-ingredients-producer-lyons-magnus-explores-sale-9fin-2026-07-01</v>
      </c>
    </row>
    <row r="114" spans="1:15" ht="14.6">
      <c r="A114" s="1"/>
      <c r="B114" s="18" t="str">
        <f t="shared" ca="1" si="4"/>
        <v>Alkami Technology</v>
      </c>
      <c r="C114" s="15" t="s">
        <v>47</v>
      </c>
      <c r="D114" s="15" t="s">
        <v>56</v>
      </c>
      <c r="E114" s="28" t="s">
        <v>33</v>
      </c>
      <c r="F114" s="28" t="s">
        <v>288</v>
      </c>
      <c r="G114" s="28"/>
      <c r="H114" s="28"/>
      <c r="I114" s="28"/>
      <c r="J114" s="14" t="str">
        <f t="shared" ca="1" si="5"/>
        <v>Bloomberg</v>
      </c>
      <c r="K114" s="8"/>
      <c r="L114" s="16" t="str">
        <f ca="1">IFERROR(__xludf.DUMMYFUNCTION("""COMPUTED_VALUE"""),"Alkami Technology")</f>
        <v>Alkami Technology</v>
      </c>
      <c r="M114" s="16"/>
      <c r="N114" s="16" t="str">
        <f ca="1">IFERROR(__xludf.DUMMYFUNCTION("""COMPUTED_VALUE"""),"Bloomberg")</f>
        <v>Bloomberg</v>
      </c>
      <c r="O114" s="17" t="str">
        <f ca="1">IFERROR(__xludf.DUMMYFUNCTION("""COMPUTED_VALUE"""),"https://www.bloomberg.com/news/articles/2026-06-29/jana-builds-bigger-stake-in-fintech-alkami-and-pushes-for-sale?cmpid=BBBXT063026_DEALS&amp;utm_campaign=deals&amp;utm_medium=email&amp;utm_source=newsletter&amp;utm_term=260630&amp;utm_content=6047")</f>
        <v>https://www.bloomberg.com/news/articles/2026-06-29/jana-builds-bigger-stake-in-fintech-alkami-and-pushes-for-sale?cmpid=BBBXT063026_DEALS&amp;utm_campaign=deals&amp;utm_medium=email&amp;utm_source=newsletter&amp;utm_term=260630&amp;utm_content=6047</v>
      </c>
    </row>
    <row r="115" spans="1:15" ht="14.6">
      <c r="A115" s="1"/>
      <c r="B115" s="18" t="str">
        <f t="shared" ca="1" si="4"/>
        <v>Troon Golf</v>
      </c>
      <c r="C115" s="15" t="s">
        <v>53</v>
      </c>
      <c r="D115" s="15" t="s">
        <v>60</v>
      </c>
      <c r="E115" s="28" t="s">
        <v>33</v>
      </c>
      <c r="F115" s="28" t="s">
        <v>283</v>
      </c>
      <c r="G115" s="28"/>
      <c r="H115" s="28"/>
      <c r="I115" s="28"/>
      <c r="J115" s="14" t="str">
        <f t="shared" ca="1" si="5"/>
        <v>Bloomberg</v>
      </c>
      <c r="K115" s="8"/>
      <c r="L115" s="16" t="str">
        <f ca="1">IFERROR(__xludf.DUMMYFUNCTION("""COMPUTED_VALUE"""),"Troon Golf")</f>
        <v>Troon Golf</v>
      </c>
      <c r="M115" s="16"/>
      <c r="N115" s="16" t="str">
        <f ca="1">IFERROR(__xludf.DUMMYFUNCTION("""COMPUTED_VALUE"""),"Bloomberg")</f>
        <v>Bloomberg</v>
      </c>
      <c r="O115" s="17" t="str">
        <f ca="1">IFERROR(__xludf.DUMMYFUNCTION("""COMPUTED_VALUE"""),"https://www.bloomberg.com/news/articles/2026-06-26/tpg-leonard-green-explore-sale-of-mcilroy-backed-troon-golf")</f>
        <v>https://www.bloomberg.com/news/articles/2026-06-26/tpg-leonard-green-explore-sale-of-mcilroy-backed-troon-golf</v>
      </c>
    </row>
    <row r="116" spans="1:15" ht="14.6">
      <c r="A116" s="1"/>
      <c r="B116" s="14" t="str">
        <f t="shared" ca="1" si="4"/>
        <v>Bumble Inc.</v>
      </c>
      <c r="C116" s="15" t="s">
        <v>29</v>
      </c>
      <c r="D116" s="15"/>
      <c r="E116" s="28" t="s">
        <v>33</v>
      </c>
      <c r="F116" s="28" t="s">
        <v>284</v>
      </c>
      <c r="G116" s="28"/>
      <c r="H116" s="28"/>
      <c r="I116" s="28"/>
      <c r="J116" s="14" t="str">
        <f t="shared" ca="1" si="5"/>
        <v>Reuters</v>
      </c>
      <c r="K116" s="8"/>
      <c r="L116" s="16" t="str">
        <f ca="1">IFERROR(__xludf.DUMMYFUNCTION("""COMPUTED_VALUE"""),"Bumble Inc.")</f>
        <v>Bumble Inc.</v>
      </c>
      <c r="M116" s="17" t="str">
        <f ca="1">IFERROR(__xludf.DUMMYFUNCTION("""COMPUTED_VALUE"""),"https://9fin.com/company/Bumble%20Inc./overview")</f>
        <v>https://9fin.com/company/Bumble%20Inc./overview</v>
      </c>
      <c r="N116" s="16" t="str">
        <f ca="1">IFERROR(__xludf.DUMMYFUNCTION("""COMPUTED_VALUE"""),"Reuters")</f>
        <v>Reuters</v>
      </c>
      <c r="O116" s="17" t="str">
        <f ca="1">IFERROR(__xludf.DUMMYFUNCTION("""COMPUTED_VALUE"""),"https://www.reuters.com/business/bumble-dating-app-explores-sale-sources-say-2026-06-25/")</f>
        <v>https://www.reuters.com/business/bumble-dating-app-explores-sale-sources-say-2026-06-25/</v>
      </c>
    </row>
    <row r="117" spans="1:15" ht="14.6">
      <c r="A117" s="1"/>
      <c r="B117" s="14" t="str">
        <f t="shared" ca="1" si="4"/>
        <v>Edgewell Personal Care</v>
      </c>
      <c r="C117" s="15" t="s">
        <v>39</v>
      </c>
      <c r="D117" s="15" t="s">
        <v>60</v>
      </c>
      <c r="E117" s="28" t="s">
        <v>21</v>
      </c>
      <c r="F117" s="28" t="s">
        <v>289</v>
      </c>
      <c r="G117" s="28"/>
      <c r="H117" s="28"/>
      <c r="I117" s="28"/>
      <c r="J117" s="14" t="str">
        <f t="shared" ca="1" si="5"/>
        <v>Bloomberg</v>
      </c>
      <c r="K117" s="8"/>
      <c r="L117" s="16" t="str">
        <f ca="1">IFERROR(__xludf.DUMMYFUNCTION("""COMPUTED_VALUE"""),"Edgewell Personal Care")</f>
        <v>Edgewell Personal Care</v>
      </c>
      <c r="M117" s="17" t="str">
        <f ca="1">IFERROR(__xludf.DUMMYFUNCTION("""COMPUTED_VALUE"""),"https://9fin.com/company/Edgewell%20Personal%20Care/overview")</f>
        <v>https://9fin.com/company/Edgewell%20Personal%20Care/overview</v>
      </c>
      <c r="N117" s="16" t="str">
        <f ca="1">IFERROR(__xludf.DUMMYFUNCTION("""COMPUTED_VALUE"""),"Bloomberg")</f>
        <v>Bloomberg</v>
      </c>
      <c r="O117" s="17" t="str">
        <f ca="1">IFERROR(__xludf.DUMMYFUNCTION("""COMPUTED_VALUE"""),"https://www.bloomberg.com/news/articles/2026-06-22/schick-razor-maker-is-said-to-reject-unsolicited-takeover-offer?cmpid=BBBXT062326_DEALS&amp;utm_campaign=deals&amp;utm_medium=email&amp;utm_source=newsletter&amp;utm_term=260623&amp;utm_content=5805")</f>
        <v>https://www.bloomberg.com/news/articles/2026-06-22/schick-razor-maker-is-said-to-reject-unsolicited-takeover-offer?cmpid=BBBXT062326_DEALS&amp;utm_campaign=deals&amp;utm_medium=email&amp;utm_source=newsletter&amp;utm_term=260623&amp;utm_content=5805</v>
      </c>
    </row>
    <row r="118" spans="1:15" ht="14.6">
      <c r="A118" s="1"/>
      <c r="B118" s="14" t="str">
        <f t="shared" ca="1" si="4"/>
        <v>LaserAway</v>
      </c>
      <c r="C118" s="15" t="s">
        <v>53</v>
      </c>
      <c r="D118" s="15" t="s">
        <v>60</v>
      </c>
      <c r="E118" s="28" t="s">
        <v>33</v>
      </c>
      <c r="F118" s="28" t="s">
        <v>285</v>
      </c>
      <c r="G118" s="28"/>
      <c r="H118" s="28"/>
      <c r="I118" s="28"/>
      <c r="J118" s="14" t="str">
        <f t="shared" ca="1" si="5"/>
        <v>Reuters</v>
      </c>
      <c r="K118" s="8"/>
      <c r="L118" s="16" t="str">
        <f ca="1">IFERROR(__xludf.DUMMYFUNCTION("""COMPUTED_VALUE"""),"LaserAway")</f>
        <v>LaserAway</v>
      </c>
      <c r="M118" s="17" t="str">
        <f ca="1">IFERROR(__xludf.DUMMYFUNCTION("""COMPUTED_VALUE"""),"https://9fin.com/company/LaserAway/overview")</f>
        <v>https://9fin.com/company/LaserAway/overview</v>
      </c>
      <c r="N118" s="16" t="str">
        <f ca="1">IFERROR(__xludf.DUMMYFUNCTION("""COMPUTED_VALUE"""),"Reuters")</f>
        <v>Reuters</v>
      </c>
      <c r="O118" s="17" t="str">
        <f ca="1">IFERROR(__xludf.DUMMYFUNCTION("""COMPUTED_VALUE"""),"https://www.reuters.com/legal/transactional/ares-backed-medical-spa-chain-laseraway-explores-sale-sources-say-2026-06-04/")</f>
        <v>https://www.reuters.com/legal/transactional/ares-backed-medical-spa-chain-laseraway-explores-sale-sources-say-2026-06-04/</v>
      </c>
    </row>
    <row r="119" spans="1:15" ht="14.6">
      <c r="A119" s="1"/>
      <c r="B119" s="14" t="str">
        <f t="shared" ca="1" si="4"/>
        <v>LS Power</v>
      </c>
      <c r="C119" s="15" t="s">
        <v>57</v>
      </c>
      <c r="D119" s="15" t="s">
        <v>286</v>
      </c>
      <c r="E119" s="28" t="s">
        <v>19</v>
      </c>
      <c r="F119" s="28" t="s">
        <v>287</v>
      </c>
      <c r="G119" s="28"/>
      <c r="H119" s="28"/>
      <c r="I119" s="28"/>
      <c r="J119" s="14" t="str">
        <f t="shared" ca="1" si="5"/>
        <v>Bloomberg</v>
      </c>
      <c r="K119" s="8"/>
      <c r="L119" s="16" t="str">
        <f ca="1">IFERROR(__xludf.DUMMYFUNCTION("""COMPUTED_VALUE"""),"LS Power")</f>
        <v>LS Power</v>
      </c>
      <c r="M119" s="17" t="str">
        <f ca="1">IFERROR(__xludf.DUMMYFUNCTION("""COMPUTED_VALUE"""),"https://9fin.com/company/LS%20Power/overview")</f>
        <v>https://9fin.com/company/LS%20Power/overview</v>
      </c>
      <c r="N119" s="16" t="str">
        <f ca="1">IFERROR(__xludf.DUMMYFUNCTION("""COMPUTED_VALUE"""),"Bloomberg")</f>
        <v>Bloomberg</v>
      </c>
      <c r="O119" s="17" t="str">
        <f ca="1">IFERROR(__xludf.DUMMYFUNCTION("""COMPUTED_VALUE"""),"https://www.bloomberg.com/news/articles/2026-06-04/ls-power-said-to-near-purchase-of-edf-s-american-renewables-arm")</f>
        <v>https://www.bloomberg.com/news/articles/2026-06-04/ls-power-said-to-near-purchase-of-edf-s-american-renewables-arm</v>
      </c>
    </row>
    <row r="120" spans="1:15" ht="14.6">
      <c r="A120" s="1"/>
      <c r="B120" s="14" t="str">
        <f t="shared" ca="1" si="4"/>
        <v>Trinity Consultants</v>
      </c>
      <c r="C120" s="15" t="s">
        <v>44</v>
      </c>
      <c r="D120" s="15" t="s">
        <v>28</v>
      </c>
      <c r="E120" s="28" t="s">
        <v>33</v>
      </c>
      <c r="F120" s="28" t="s">
        <v>255</v>
      </c>
      <c r="G120" s="28"/>
      <c r="H120" s="28"/>
      <c r="I120" s="28"/>
      <c r="J120" s="14" t="str">
        <f t="shared" ca="1" si="5"/>
        <v>9fin</v>
      </c>
      <c r="K120" s="8"/>
      <c r="L120" s="16" t="str">
        <f ca="1">IFERROR(__xludf.DUMMYFUNCTION("""COMPUTED_VALUE"""),"Trinity Consultants")</f>
        <v>Trinity Consultants</v>
      </c>
      <c r="M120" s="17" t="str">
        <f ca="1">IFERROR(__xludf.DUMMYFUNCTION("""COMPUTED_VALUE"""),"https://9fin.com/company/Trinity%20Consultants/overview")</f>
        <v>https://9fin.com/company/Trinity%20Consultants/overview</v>
      </c>
      <c r="N120" s="16" t="str">
        <f ca="1">IFERROR(__xludf.DUMMYFUNCTION("""COMPUTED_VALUE"""),"9fin")</f>
        <v>9fin</v>
      </c>
      <c r="O120" s="17" t="str">
        <f ca="1">IFERROR(__xludf.DUMMYFUNCTION("""COMPUTED_VALUE"""),"https://9fin.com/news/6d42036c-d0ce-439a-83bb-ffc0c717ecb5")</f>
        <v>https://9fin.com/news/6d42036c-d0ce-439a-83bb-ffc0c717ecb5</v>
      </c>
    </row>
    <row r="121" spans="1:15" ht="14.6">
      <c r="A121" s="1"/>
      <c r="B121" s="14" t="str">
        <f t="shared" ca="1" si="4"/>
        <v>People Inc.</v>
      </c>
      <c r="C121" s="15" t="s">
        <v>29</v>
      </c>
      <c r="D121" s="15" t="s">
        <v>63</v>
      </c>
      <c r="E121" s="28" t="s">
        <v>19</v>
      </c>
      <c r="F121" s="28" t="s">
        <v>242</v>
      </c>
      <c r="G121" s="28"/>
      <c r="H121" s="28"/>
      <c r="I121" s="28"/>
      <c r="J121" s="14" t="str">
        <f t="shared" ca="1" si="5"/>
        <v>Press Release</v>
      </c>
      <c r="K121" s="8"/>
      <c r="L121" s="16" t="str">
        <f ca="1">IFERROR(__xludf.DUMMYFUNCTION("""COMPUTED_VALUE"""),"People Inc.")</f>
        <v>People Inc.</v>
      </c>
      <c r="M121" s="17" t="str">
        <f ca="1">IFERROR(__xludf.DUMMYFUNCTION("""COMPUTED_VALUE"""),"https://9fin.com/company/IAC/overview")</f>
        <v>https://9fin.com/company/IAC/overview</v>
      </c>
      <c r="N121" s="16" t="str">
        <f ca="1">IFERROR(__xludf.DUMMYFUNCTION("""COMPUTED_VALUE"""),"Press Release")</f>
        <v>Press Release</v>
      </c>
      <c r="O121" s="17" t="str">
        <f ca="1">IFERROR(__xludf.DUMMYFUNCTION("""COMPUTED_VALUE"""),"https://www.prnewswire.com/news-releases/people-incorporated-proposes-to-acquire-mgm-resorts-international-for-48-30-per-share-in-cash-302787093.html")</f>
        <v>https://www.prnewswire.com/news-releases/people-incorporated-proposes-to-acquire-mgm-resorts-international-for-48-30-per-share-in-cash-302787093.html</v>
      </c>
    </row>
    <row r="122" spans="1:15" ht="14.6">
      <c r="A122" s="1"/>
      <c r="B122" s="14" t="str">
        <f t="shared" ca="1" si="4"/>
        <v>Lantheus</v>
      </c>
      <c r="C122" s="15" t="s">
        <v>65</v>
      </c>
      <c r="D122" s="15" t="s">
        <v>71</v>
      </c>
      <c r="E122" s="28" t="s">
        <v>33</v>
      </c>
      <c r="F122" s="28" t="s">
        <v>241</v>
      </c>
      <c r="G122" s="28"/>
      <c r="H122" s="28"/>
      <c r="I122" s="28"/>
      <c r="J122" s="14" t="str">
        <f t="shared" ca="1" si="5"/>
        <v>Bloomberg</v>
      </c>
      <c r="K122" s="8"/>
      <c r="L122" s="16" t="str">
        <f ca="1">IFERROR(__xludf.DUMMYFUNCTION("""COMPUTED_VALUE"""),"Lantheus")</f>
        <v>Lantheus</v>
      </c>
      <c r="M122" s="17" t="str">
        <f ca="1">IFERROR(__xludf.DUMMYFUNCTION("""COMPUTED_VALUE"""),"https://9fin.com/company/Lantheus/overview")</f>
        <v>https://9fin.com/company/Lantheus/overview</v>
      </c>
      <c r="N122" s="16" t="str">
        <f ca="1">IFERROR(__xludf.DUMMYFUNCTION("""COMPUTED_VALUE"""),"Bloomberg")</f>
        <v>Bloomberg</v>
      </c>
      <c r="O122" s="17" t="str">
        <f ca="1">IFERROR(__xludf.DUMMYFUNCTION("""COMPUTED_VALUE"""),"https://www.bloomberg.com/news/articles/2026-05-22/lantheus-is-said-to-weigh-sale-following-offer-from-curium?cmpid=BBBXT052626_DEALS&amp;utm_campaign=deals&amp;utm_medium=email&amp;utm_source=newsletter&amp;utm_term=260526&amp;utm_content=4777")</f>
        <v>https://www.bloomberg.com/news/articles/2026-05-22/lantheus-is-said-to-weigh-sale-following-offer-from-curium?cmpid=BBBXT052626_DEALS&amp;utm_campaign=deals&amp;utm_medium=email&amp;utm_source=newsletter&amp;utm_term=260526&amp;utm_content=4777</v>
      </c>
    </row>
    <row r="123" spans="1:15" ht="14.6">
      <c r="A123" s="1"/>
      <c r="B123" s="14" t="str">
        <f t="shared" ca="1" si="4"/>
        <v>Eyecare Partners</v>
      </c>
      <c r="C123" s="15" t="s">
        <v>37</v>
      </c>
      <c r="D123" s="15"/>
      <c r="E123" s="28" t="s">
        <v>33</v>
      </c>
      <c r="F123" s="28" t="s">
        <v>228</v>
      </c>
      <c r="G123" s="28"/>
      <c r="H123" s="28"/>
      <c r="I123" s="28"/>
      <c r="J123" s="14" t="str">
        <f t="shared" ca="1" si="5"/>
        <v>9fin</v>
      </c>
      <c r="K123" s="8"/>
      <c r="L123" s="16" t="str">
        <f ca="1">IFERROR(__xludf.DUMMYFUNCTION("""COMPUTED_VALUE"""),"Eyecare Partners")</f>
        <v>Eyecare Partners</v>
      </c>
      <c r="M123" s="17" t="str">
        <f ca="1">IFERROR(__xludf.DUMMYFUNCTION("""COMPUTED_VALUE"""),"https://9fin.com/company/Eyecare%20Partners/overview")</f>
        <v>https://9fin.com/company/Eyecare%20Partners/overview</v>
      </c>
      <c r="N123" s="16" t="str">
        <f ca="1">IFERROR(__xludf.DUMMYFUNCTION("""COMPUTED_VALUE"""),"9fin")</f>
        <v>9fin</v>
      </c>
      <c r="O123" s="17" t="str">
        <f ca="1">IFERROR(__xludf.DUMMYFUNCTION("""COMPUTED_VALUE"""),"https://9fin.com/news/6593b59d-a5ba-4d14-80d4-846ffc0ba1a5")</f>
        <v>https://9fin.com/news/6593b59d-a5ba-4d14-80d4-846ffc0ba1a5</v>
      </c>
    </row>
    <row r="124" spans="1:15" ht="14.6">
      <c r="A124" s="1"/>
      <c r="B124" s="14" t="str">
        <f t="shared" ca="1" si="4"/>
        <v>Dream Finders Homes</v>
      </c>
      <c r="C124" s="15" t="s">
        <v>35</v>
      </c>
      <c r="D124" s="15" t="s">
        <v>56</v>
      </c>
      <c r="E124" s="28" t="s">
        <v>19</v>
      </c>
      <c r="F124" s="28" t="s">
        <v>227</v>
      </c>
      <c r="G124" s="28"/>
      <c r="H124" s="28"/>
      <c r="I124" s="28"/>
      <c r="J124" s="14" t="str">
        <f t="shared" ca="1" si="5"/>
        <v>Press Release</v>
      </c>
      <c r="K124" s="8"/>
      <c r="L124" s="16" t="str">
        <f ca="1">IFERROR(__xludf.DUMMYFUNCTION("""COMPUTED_VALUE"""),"Dream Finders Homes")</f>
        <v>Dream Finders Homes</v>
      </c>
      <c r="M124" s="17" t="str">
        <f ca="1">IFERROR(__xludf.DUMMYFUNCTION("""COMPUTED_VALUE"""),"https://9fin.com/company/Dream%20Finders%20Homes/overview")</f>
        <v>https://9fin.com/company/Dream%20Finders%20Homes/overview</v>
      </c>
      <c r="N124" s="16" t="str">
        <f ca="1">IFERROR(__xludf.DUMMYFUNCTION("""COMPUTED_VALUE"""),"Press Release")</f>
        <v>Press Release</v>
      </c>
      <c r="O124" s="17" t="str">
        <f ca="1">IFERROR(__xludf.DUMMYFUNCTION("""COMPUTED_VALUE"""),"https://sec.9fin.com/Archives/edgar/data/1825088/000162828026033114/ex-991pressrelease.htm")</f>
        <v>https://sec.9fin.com/Archives/edgar/data/1825088/000162828026033114/ex-991pressrelease.htm</v>
      </c>
    </row>
    <row r="125" spans="1:15" ht="14.6">
      <c r="A125" s="1"/>
      <c r="B125" s="14" t="str">
        <f t="shared" ca="1" si="4"/>
        <v>Honeywell</v>
      </c>
      <c r="C125" s="15" t="s">
        <v>36</v>
      </c>
      <c r="D125" s="15"/>
      <c r="E125" s="28" t="s">
        <v>49</v>
      </c>
      <c r="F125" s="28" t="s">
        <v>221</v>
      </c>
      <c r="G125" s="28"/>
      <c r="H125" s="28"/>
      <c r="I125" s="28"/>
      <c r="J125" s="14" t="str">
        <f t="shared" ca="1" si="5"/>
        <v>Bloomberg</v>
      </c>
      <c r="K125" s="8"/>
      <c r="L125" s="16" t="str">
        <f ca="1">IFERROR(__xludf.DUMMYFUNCTION("""COMPUTED_VALUE"""),"Honeywell")</f>
        <v>Honeywell</v>
      </c>
      <c r="M125" s="17" t="str">
        <f ca="1">IFERROR(__xludf.DUMMYFUNCTION("""COMPUTED_VALUE"""),"https://9fin.com/company/Honeywell/overview")</f>
        <v>https://9fin.com/company/Honeywell/overview</v>
      </c>
      <c r="N125" s="16" t="str">
        <f ca="1">IFERROR(__xludf.DUMMYFUNCTION("""COMPUTED_VALUE"""),"Bloomberg")</f>
        <v>Bloomberg</v>
      </c>
      <c r="O125" s="17" t="str">
        <f ca="1">IFERROR(__xludf.DUMMYFUNCTION("""COMPUTED_VALUE"""),"https://www.bloomberg.com/news/articles/2026-04-23/honeywell-is-said-to-near-sale-of-warehouse-services-unit-to-aip")</f>
        <v>https://www.bloomberg.com/news/articles/2026-04-23/honeywell-is-said-to-near-sale-of-warehouse-services-unit-to-aip</v>
      </c>
    </row>
    <row r="126" spans="1:15" ht="14.6">
      <c r="A126" s="1"/>
      <c r="B126" s="14" t="str">
        <f t="shared" ca="1" si="4"/>
        <v>Teleflex</v>
      </c>
      <c r="C126" s="15" t="s">
        <v>37</v>
      </c>
      <c r="D126" s="15" t="s">
        <v>225</v>
      </c>
      <c r="E126" s="28" t="s">
        <v>21</v>
      </c>
      <c r="F126" s="28" t="s">
        <v>226</v>
      </c>
      <c r="G126" s="28"/>
      <c r="H126" s="28"/>
      <c r="I126" s="28"/>
      <c r="J126" s="14" t="str">
        <f t="shared" ca="1" si="5"/>
        <v>Bloomberg</v>
      </c>
      <c r="K126" s="8"/>
      <c r="L126" s="16" t="str">
        <f ca="1">IFERROR(__xludf.DUMMYFUNCTION("""COMPUTED_VALUE"""),"Teleflex")</f>
        <v>Teleflex</v>
      </c>
      <c r="M126" s="17" t="str">
        <f ca="1">IFERROR(__xludf.DUMMYFUNCTION("""COMPUTED_VALUE"""),"https://9fin.com/company/Teleflex/overview")</f>
        <v>https://9fin.com/company/Teleflex/overview</v>
      </c>
      <c r="N126" s="16" t="str">
        <f ca="1">IFERROR(__xludf.DUMMYFUNCTION("""COMPUTED_VALUE"""),"Bloomberg")</f>
        <v>Bloomberg</v>
      </c>
      <c r="O126" s="17" t="str">
        <f ca="1">IFERROR(__xludf.DUMMYFUNCTION("""COMPUTED_VALUE"""),"https://www.bloomberg.com/news/articles/2026-04-21/cvc-gtcr-weigh-take-private-of-medical-equipment-provider-teleflex")</f>
        <v>https://www.bloomberg.com/news/articles/2026-04-21/cvc-gtcr-weigh-take-private-of-medical-equipment-provider-teleflex</v>
      </c>
    </row>
    <row r="127" spans="1:15" ht="14.6">
      <c r="A127" s="1"/>
      <c r="B127" s="14" t="str">
        <f t="shared" ca="1" si="4"/>
        <v>Sazerac Company</v>
      </c>
      <c r="C127" s="15" t="s">
        <v>215</v>
      </c>
      <c r="D127" s="15" t="s">
        <v>61</v>
      </c>
      <c r="E127" s="28" t="s">
        <v>19</v>
      </c>
      <c r="F127" s="28" t="s">
        <v>216</v>
      </c>
      <c r="G127" s="28"/>
      <c r="H127" s="28"/>
      <c r="I127" s="28"/>
      <c r="J127" s="14" t="str">
        <f t="shared" ca="1" si="5"/>
        <v>Reuters</v>
      </c>
      <c r="L127" s="22" t="str">
        <f ca="1">IFERROR(__xludf.DUMMYFUNCTION("""COMPUTED_VALUE"""),"Sazerac Company")</f>
        <v>Sazerac Company</v>
      </c>
      <c r="M127" s="29" t="str">
        <f ca="1">IFERROR(__xludf.DUMMYFUNCTION("""COMPUTED_VALUE"""),"https://9fin.com/company/Sazerac%20Company/overview")</f>
        <v>https://9fin.com/company/Sazerac%20Company/overview</v>
      </c>
      <c r="N127" s="22" t="str">
        <f ca="1">IFERROR(__xludf.DUMMYFUNCTION("""COMPUTED_VALUE"""),"Reuters")</f>
        <v>Reuters</v>
      </c>
      <c r="O127" s="29" t="str">
        <f ca="1">IFERROR(__xludf.DUMMYFUNCTION("""COMPUTED_VALUE"""),"https://www.reuters.com/legal/transactional/sazerac-offers-buy-jack-daniels-maker-brown-forman-about-15-billion-wsj-reports-2026-04-15/")</f>
        <v>https://www.reuters.com/legal/transactional/sazerac-offers-buy-jack-daniels-maker-brown-forman-about-15-billion-wsj-reports-2026-04-15/</v>
      </c>
    </row>
    <row r="128" spans="1:15" ht="14.6">
      <c r="A128" s="1"/>
      <c r="B128" s="14" t="str">
        <f t="shared" ca="1" si="4"/>
        <v>SBA Communications</v>
      </c>
      <c r="C128" s="15" t="s">
        <v>40</v>
      </c>
      <c r="D128" s="15" t="s">
        <v>204</v>
      </c>
      <c r="E128" s="28" t="s">
        <v>33</v>
      </c>
      <c r="F128" s="28" t="s">
        <v>205</v>
      </c>
      <c r="G128" s="28"/>
      <c r="H128" s="28"/>
      <c r="I128" s="28"/>
      <c r="J128" s="14" t="str">
        <f t="shared" ca="1" si="5"/>
        <v>Bloomberg</v>
      </c>
      <c r="L128" s="22" t="str">
        <f ca="1">IFERROR(__xludf.DUMMYFUNCTION("""COMPUTED_VALUE"""),"SBA Communications")</f>
        <v>SBA Communications</v>
      </c>
      <c r="M128" s="29" t="str">
        <f ca="1">IFERROR(__xludf.DUMMYFUNCTION("""COMPUTED_VALUE"""),"https://9fin.com/company/SBA%20Communications/overview")</f>
        <v>https://9fin.com/company/SBA%20Communications/overview</v>
      </c>
      <c r="N128" s="22" t="str">
        <f ca="1">IFERROR(__xludf.DUMMYFUNCTION("""COMPUTED_VALUE"""),"Bloomberg")</f>
        <v>Bloomberg</v>
      </c>
      <c r="O128" s="29" t="str">
        <f ca="1">IFERROR(__xludf.DUMMYFUNCTION("""COMPUTED_VALUE"""),"https://www.bloomberg.com/news/articles/2026-04-02/tower-operator-sba-communications-is-exploring-a-potential-sale")</f>
        <v>https://www.bloomberg.com/news/articles/2026-04-02/tower-operator-sba-communications-is-exploring-a-potential-sale</v>
      </c>
    </row>
    <row r="129" spans="1:15" ht="14.6">
      <c r="A129" s="1"/>
      <c r="B129" s="14" t="str">
        <f t="shared" ca="1" si="4"/>
        <v>JetBlue</v>
      </c>
      <c r="C129" s="15" t="s">
        <v>34</v>
      </c>
      <c r="D129" s="15"/>
      <c r="E129" s="28" t="s">
        <v>33</v>
      </c>
      <c r="F129" s="28" t="s">
        <v>201</v>
      </c>
      <c r="G129" s="28"/>
      <c r="H129" s="28"/>
      <c r="I129" s="28"/>
      <c r="J129" s="14" t="str">
        <f t="shared" ca="1" si="5"/>
        <v>Bloomberg</v>
      </c>
      <c r="L129" s="22" t="str">
        <f ca="1">IFERROR(__xludf.DUMMYFUNCTION("""COMPUTED_VALUE"""),"JetBlue")</f>
        <v>JetBlue</v>
      </c>
      <c r="M129" s="29" t="str">
        <f ca="1">IFERROR(__xludf.DUMMYFUNCTION("""COMPUTED_VALUE"""),"https://9fin.com/company/JetBlue/overview")</f>
        <v>https://9fin.com/company/JetBlue/overview</v>
      </c>
      <c r="N129" s="22" t="str">
        <f ca="1">IFERROR(__xludf.DUMMYFUNCTION("""COMPUTED_VALUE"""),"Bloomberg")</f>
        <v>Bloomberg</v>
      </c>
      <c r="O129" s="29" t="str">
        <f ca="1">IFERROR(__xludf.DUMMYFUNCTION("""COMPUTED_VALUE"""),"https://news.bloomberglaw.com/bankruptcy-law/jetblue-exploring-options-to-sell-itself-to-rival-semafor-says?utm_source=rss&amp;utm_medium=BKNW&amp;utm_campaign=0000019d-25dd-d4ab-afff-bdff7a7c0003")</f>
        <v>https://news.bloomberglaw.com/bankruptcy-law/jetblue-exploring-options-to-sell-itself-to-rival-semafor-says?utm_source=rss&amp;utm_medium=BKNW&amp;utm_campaign=0000019d-25dd-d4ab-afff-bdff7a7c0003</v>
      </c>
    </row>
    <row r="130" spans="1:15" ht="14.6">
      <c r="A130" s="1"/>
      <c r="B130" s="14" t="str">
        <f t="shared" ca="1" si="4"/>
        <v>Exeter</v>
      </c>
      <c r="C130" s="15" t="s">
        <v>18</v>
      </c>
      <c r="D130" s="15" t="s">
        <v>73</v>
      </c>
      <c r="E130" s="28" t="s">
        <v>33</v>
      </c>
      <c r="F130" s="28" t="s">
        <v>200</v>
      </c>
      <c r="G130" s="28"/>
      <c r="H130" s="28"/>
      <c r="I130" s="28"/>
      <c r="J130" s="14" t="str">
        <f t="shared" ca="1" si="5"/>
        <v>Bloomberg</v>
      </c>
      <c r="L130" s="22" t="str">
        <f ca="1">IFERROR(__xludf.DUMMYFUNCTION("""COMPUTED_VALUE"""),"Exeter")</f>
        <v>Exeter</v>
      </c>
      <c r="M130" s="29" t="str">
        <f ca="1">IFERROR(__xludf.DUMMYFUNCTION("""COMPUTED_VALUE"""),"https://9fin.com/company/Exeter%20Finance/overview")</f>
        <v>https://9fin.com/company/Exeter%20Finance/overview</v>
      </c>
      <c r="N130" s="22" t="str">
        <f ca="1">IFERROR(__xludf.DUMMYFUNCTION("""COMPUTED_VALUE"""),"Bloomberg")</f>
        <v>Bloomberg</v>
      </c>
      <c r="O130" s="29" t="str">
        <f ca="1">IFERROR(__xludf.DUMMYFUNCTION("""COMPUTED_VALUE"""),"https://www.bloomberg.com/news/articles/2026-03-16/warburg-said-to-eye-2-5-billion-plus-sale-of-auto-lender-exeter")</f>
        <v>https://www.bloomberg.com/news/articles/2026-03-16/warburg-said-to-eye-2-5-billion-plus-sale-of-auto-lender-exeter</v>
      </c>
    </row>
    <row r="131" spans="1:15" ht="14.6">
      <c r="A131" s="1"/>
      <c r="B131" s="14" t="str">
        <f t="shared" ca="1" si="4"/>
        <v>M6 Midstream</v>
      </c>
      <c r="C131" s="15" t="s">
        <v>76</v>
      </c>
      <c r="D131" s="15" t="s">
        <v>74</v>
      </c>
      <c r="E131" s="28" t="s">
        <v>33</v>
      </c>
      <c r="F131" s="28" t="s">
        <v>182</v>
      </c>
      <c r="G131" s="28"/>
      <c r="H131" s="28"/>
      <c r="I131" s="28"/>
      <c r="J131" s="14" t="str">
        <f t="shared" ca="1" si="5"/>
        <v>Bloomberg</v>
      </c>
      <c r="L131" s="22" t="str">
        <f ca="1">IFERROR(__xludf.DUMMYFUNCTION("""COMPUTED_VALUE"""),"M6 Midstream")</f>
        <v>M6 Midstream</v>
      </c>
      <c r="M131" s="29" t="str">
        <f ca="1">IFERROR(__xludf.DUMMYFUNCTION("""COMPUTED_VALUE"""),"https://9fin.com/company/M6%20Midstream/overview")</f>
        <v>https://9fin.com/company/M6%20Midstream/overview</v>
      </c>
      <c r="N131" s="22" t="str">
        <f ca="1">IFERROR(__xludf.DUMMYFUNCTION("""COMPUTED_VALUE"""),"Bloomberg")</f>
        <v>Bloomberg</v>
      </c>
      <c r="O131" s="29" t="str">
        <f ca="1">IFERROR(__xludf.DUMMYFUNCTION("""COMPUTED_VALUE"""),"https://www.bloomberg.com/news/articles/2026-02-25/momentum-midstream-explores-sale-that-could-fetch-gas-pipeline-firm-5-billion")</f>
        <v>https://www.bloomberg.com/news/articles/2026-02-25/momentum-midstream-explores-sale-that-could-fetch-gas-pipeline-firm-5-billion</v>
      </c>
    </row>
    <row r="132" spans="1:15" ht="14.6">
      <c r="A132" s="1"/>
      <c r="B132" s="14" t="str">
        <f t="shared" ca="1" si="4"/>
        <v>Dessert Holdings</v>
      </c>
      <c r="C132" s="15" t="s">
        <v>43</v>
      </c>
      <c r="D132" s="15" t="s">
        <v>28</v>
      </c>
      <c r="E132" s="28" t="s">
        <v>33</v>
      </c>
      <c r="F132" s="28" t="s">
        <v>187</v>
      </c>
      <c r="G132" s="28"/>
      <c r="H132" s="28"/>
      <c r="I132" s="28"/>
      <c r="J132" s="14" t="str">
        <f t="shared" ca="1" si="5"/>
        <v>Reuters</v>
      </c>
      <c r="L132" s="22" t="str">
        <f ca="1">IFERROR(__xludf.DUMMYFUNCTION("""COMPUTED_VALUE"""),"Dessert Holdings")</f>
        <v>Dessert Holdings</v>
      </c>
      <c r="M132" s="29" t="str">
        <f ca="1">IFERROR(__xludf.DUMMYFUNCTION("""COMPUTED_VALUE"""),"https://9fin.com/company/Dessert%20Holdings/overview")</f>
        <v>https://9fin.com/company/Dessert%20Holdings/overview</v>
      </c>
      <c r="N132" s="22" t="str">
        <f ca="1">IFERROR(__xludf.DUMMYFUNCTION("""COMPUTED_VALUE"""),"Reuters")</f>
        <v>Reuters</v>
      </c>
      <c r="O132" s="29" t="str">
        <f ca="1">IFERROR(__xludf.DUMMYFUNCTION("""COMPUTED_VALUE"""),"https://www.reuters.com/business/finance/bain-capital-explores-sale-or-ipo-dessert-holdings-sources-say-2026-02-19/")</f>
        <v>https://www.reuters.com/business/finance/bain-capital-explores-sale-or-ipo-dessert-holdings-sources-say-2026-02-19/</v>
      </c>
    </row>
    <row r="133" spans="1:15" ht="14.6">
      <c r="A133" s="1"/>
      <c r="B133" s="14" t="str">
        <f t="shared" ca="1" si="4"/>
        <v>Kinetik</v>
      </c>
      <c r="C133" s="15" t="s">
        <v>76</v>
      </c>
      <c r="D133" s="15" t="s">
        <v>185</v>
      </c>
      <c r="E133" s="28" t="s">
        <v>33</v>
      </c>
      <c r="F133" s="28" t="s">
        <v>186</v>
      </c>
      <c r="G133" s="28"/>
      <c r="H133" s="28"/>
      <c r="I133" s="28"/>
      <c r="J133" s="14" t="str">
        <f t="shared" ca="1" si="5"/>
        <v>FT</v>
      </c>
      <c r="L133" s="22" t="str">
        <f ca="1">IFERROR(__xludf.DUMMYFUNCTION("""COMPUTED_VALUE"""),"Kinetik")</f>
        <v>Kinetik</v>
      </c>
      <c r="M133" s="29" t="str">
        <f ca="1">IFERROR(__xludf.DUMMYFUNCTION("""COMPUTED_VALUE"""),"https://9fin.com/company/Kinetik/overview")</f>
        <v>https://9fin.com/company/Kinetik/overview</v>
      </c>
      <c r="N133" s="22" t="str">
        <f ca="1">IFERROR(__xludf.DUMMYFUNCTION("""COMPUTED_VALUE"""),"FT")</f>
        <v>FT</v>
      </c>
      <c r="O133" s="29" t="str">
        <f ca="1">IFERROR(__xludf.DUMMYFUNCTION("""COMPUTED_VALUE"""),"https://www.ft.com/content/b3afb915-5daf-4085-a022-7261b5d706ff")</f>
        <v>https://www.ft.com/content/b3afb915-5daf-4085-a022-7261b5d706ff</v>
      </c>
    </row>
    <row r="134" spans="1:15" ht="14.6">
      <c r="A134" s="1"/>
      <c r="B134" s="14" t="str">
        <f t="shared" ca="1" si="4"/>
        <v>Imprivata</v>
      </c>
      <c r="C134" s="15" t="s">
        <v>22</v>
      </c>
      <c r="D134" s="15"/>
      <c r="E134" s="28" t="s">
        <v>33</v>
      </c>
      <c r="F134" s="28" t="s">
        <v>150</v>
      </c>
      <c r="G134" s="28"/>
      <c r="H134" s="28"/>
      <c r="I134" s="28"/>
      <c r="J134" s="14" t="str">
        <f t="shared" ca="1" si="5"/>
        <v>9fin</v>
      </c>
      <c r="L134" s="22" t="str">
        <f ca="1">IFERROR(__xludf.DUMMYFUNCTION("""COMPUTED_VALUE"""),"Imprivata")</f>
        <v>Imprivata</v>
      </c>
      <c r="M134" s="29" t="str">
        <f ca="1">IFERROR(__xludf.DUMMYFUNCTION("""COMPUTED_VALUE"""),"https://9fin.com/company/Imprivata/overview")</f>
        <v>https://9fin.com/company/Imprivata/overview</v>
      </c>
      <c r="N134" s="22" t="str">
        <f ca="1">IFERROR(__xludf.DUMMYFUNCTION("""COMPUTED_VALUE"""),"9fin")</f>
        <v>9fin</v>
      </c>
      <c r="O134" s="29" t="str">
        <f ca="1">IFERROR(__xludf.DUMMYFUNCTION("""COMPUTED_VALUE"""),"https://9fin.com/news/1cd0b054-3342-4335-9a3c-75b7e046ef08")</f>
        <v>https://9fin.com/news/1cd0b054-3342-4335-9a3c-75b7e046ef08</v>
      </c>
    </row>
    <row r="135" spans="1:15" ht="14.6">
      <c r="A135" s="1"/>
      <c r="B135" s="14" t="str">
        <f t="shared" ca="1" si="4"/>
        <v>BlueCat Networks</v>
      </c>
      <c r="C135" s="15" t="s">
        <v>22</v>
      </c>
      <c r="D135" s="15" t="s">
        <v>45</v>
      </c>
      <c r="E135" s="28" t="s">
        <v>33</v>
      </c>
      <c r="F135" s="28" t="s">
        <v>151</v>
      </c>
      <c r="G135" s="28"/>
      <c r="H135" s="28"/>
      <c r="I135" s="28"/>
      <c r="J135" s="14" t="str">
        <f t="shared" ca="1" si="5"/>
        <v>9fin</v>
      </c>
      <c r="L135" s="22" t="str">
        <f ca="1">IFERROR(__xludf.DUMMYFUNCTION("""COMPUTED_VALUE"""),"BlueCat Networks")</f>
        <v>BlueCat Networks</v>
      </c>
      <c r="M135" s="29" t="str">
        <f ca="1">IFERROR(__xludf.DUMMYFUNCTION("""COMPUTED_VALUE"""),"https://9fin.com/company/BlueCat%20Networks/overview")</f>
        <v>https://9fin.com/company/BlueCat%20Networks/overview</v>
      </c>
      <c r="N135" s="22" t="str">
        <f ca="1">IFERROR(__xludf.DUMMYFUNCTION("""COMPUTED_VALUE"""),"9fin")</f>
        <v>9fin</v>
      </c>
      <c r="O135" s="29" t="str">
        <f ca="1">IFERROR(__xludf.DUMMYFUNCTION("""COMPUTED_VALUE"""),"https://9fin.com/news/83e2cd97-c0cc-4b27-999b-e0763fb48672")</f>
        <v>https://9fin.com/news/83e2cd97-c0cc-4b27-999b-e0763fb48672</v>
      </c>
    </row>
    <row r="136" spans="1:15" ht="14.6">
      <c r="A136" s="1"/>
      <c r="B136" s="14" t="str">
        <f t="shared" ca="1" si="4"/>
        <v>Cordis</v>
      </c>
      <c r="C136" s="15" t="s">
        <v>37</v>
      </c>
      <c r="D136" s="15" t="s">
        <v>79</v>
      </c>
      <c r="E136" s="28" t="s">
        <v>33</v>
      </c>
      <c r="F136" s="28" t="s">
        <v>165</v>
      </c>
      <c r="G136" s="28"/>
      <c r="H136" s="28"/>
      <c r="I136" s="28"/>
      <c r="J136" s="14" t="str">
        <f t="shared" ca="1" si="5"/>
        <v>Bloomberg</v>
      </c>
      <c r="L136" s="22" t="str">
        <f ca="1">IFERROR(__xludf.DUMMYFUNCTION("""COMPUTED_VALUE"""),"Cordis")</f>
        <v>Cordis</v>
      </c>
      <c r="M136" s="29" t="str">
        <f ca="1">IFERROR(__xludf.DUMMYFUNCTION("""COMPUTED_VALUE"""),"https://9fin.com/company/Cordis/overview")</f>
        <v>https://9fin.com/company/Cordis/overview</v>
      </c>
      <c r="N136" s="22" t="str">
        <f ca="1">IFERROR(__xludf.DUMMYFUNCTION("""COMPUTED_VALUE"""),"Bloomberg")</f>
        <v>Bloomberg</v>
      </c>
      <c r="O136" s="29" t="str">
        <f ca="1">IFERROR(__xludf.DUMMYFUNCTION("""COMPUTED_VALUE"""),"https://www.bloomberg.com/news/articles/2026-01-16/h-f-explores-9-billion-plus-sale-of-medical-device-maker-cordis")</f>
        <v>https://www.bloomberg.com/news/articles/2026-01-16/h-f-explores-9-billion-plus-sale-of-medical-device-maker-cordis</v>
      </c>
    </row>
    <row r="137" spans="1:15" ht="14.6">
      <c r="A137" s="1"/>
      <c r="B137" s="14" t="str">
        <f t="shared" ca="1" si="4"/>
        <v>Atlas Air Worldwide</v>
      </c>
      <c r="C137" s="15" t="s">
        <v>34</v>
      </c>
      <c r="D137" s="15" t="s">
        <v>62</v>
      </c>
      <c r="E137" s="28" t="s">
        <v>33</v>
      </c>
      <c r="F137" s="28" t="s">
        <v>149</v>
      </c>
      <c r="G137" s="28"/>
      <c r="H137" s="28"/>
      <c r="I137" s="28"/>
      <c r="J137" s="14" t="str">
        <f t="shared" ca="1" si="5"/>
        <v>Bloomberg</v>
      </c>
      <c r="L137" s="22" t="str">
        <f ca="1">IFERROR(__xludf.DUMMYFUNCTION("""COMPUTED_VALUE"""),"Atlas Air Worldwide")</f>
        <v>Atlas Air Worldwide</v>
      </c>
      <c r="M137" s="29" t="str">
        <f ca="1">IFERROR(__xludf.DUMMYFUNCTION("""COMPUTED_VALUE"""),"https://9fin.com/company/Atlas%20Air%20Worldwide/overview")</f>
        <v>https://9fin.com/company/Atlas%20Air%20Worldwide/overview</v>
      </c>
      <c r="N137" s="22" t="str">
        <f ca="1">IFERROR(__xludf.DUMMYFUNCTION("""COMPUTED_VALUE"""),"Bloomberg")</f>
        <v>Bloomberg</v>
      </c>
      <c r="O137" s="29" t="str">
        <f ca="1">IFERROR(__xludf.DUMMYFUNCTION("""COMPUTED_VALUE"""),"https://www.bloomberg.com/news/articles/2025-12-16/apollo-weighs-potential-12-billion-sale-of-atlas-air")</f>
        <v>https://www.bloomberg.com/news/articles/2025-12-16/apollo-weighs-potential-12-billion-sale-of-atlas-air</v>
      </c>
    </row>
    <row r="138" spans="1:15" ht="14.6">
      <c r="A138" s="1"/>
      <c r="B138" s="14" t="str">
        <f t="shared" ca="1" si="4"/>
        <v>Dye &amp; Durham</v>
      </c>
      <c r="C138" s="15" t="s">
        <v>22</v>
      </c>
      <c r="D138" s="15"/>
      <c r="E138" s="28" t="s">
        <v>21</v>
      </c>
      <c r="F138" s="28" t="s">
        <v>146</v>
      </c>
      <c r="G138" s="28"/>
      <c r="H138" s="28"/>
      <c r="I138" s="28"/>
      <c r="J138" s="14" t="str">
        <f t="shared" ca="1" si="5"/>
        <v>Bloomberg</v>
      </c>
      <c r="L138" s="22" t="str">
        <f ca="1">IFERROR(__xludf.DUMMYFUNCTION("""COMPUTED_VALUE"""),"Dye &amp; Durham")</f>
        <v>Dye &amp; Durham</v>
      </c>
      <c r="M138" s="29" t="str">
        <f ca="1">IFERROR(__xludf.DUMMYFUNCTION("""COMPUTED_VALUE"""),"https://9fin.com/company/Dye%20&amp;%20Durham/overview")</f>
        <v>https://9fin.com/company/Dye%20&amp;%20Durham/overview</v>
      </c>
      <c r="N138" s="22" t="str">
        <f ca="1">IFERROR(__xludf.DUMMYFUNCTION("""COMPUTED_VALUE"""),"Bloomberg")</f>
        <v>Bloomberg</v>
      </c>
      <c r="O138" s="29" t="str">
        <f ca="1">IFERROR(__xludf.DUMMYFUNCTION("""COMPUTED_VALUE"""),"https://www.bloomberg.com/news/articles/2025-11-21/ex-dye-durham-ceo-s-firm-said-to-offer-111-premium-to-buy-the-company")</f>
        <v>https://www.bloomberg.com/news/articles/2025-11-21/ex-dye-durham-ceo-s-firm-said-to-offer-111-premium-to-buy-the-company</v>
      </c>
    </row>
    <row r="139" spans="1:15" ht="14.6">
      <c r="A139" s="1"/>
      <c r="B139" s="14" t="str">
        <f t="shared" ca="1" si="4"/>
        <v>Priority</v>
      </c>
      <c r="C139" s="15" t="s">
        <v>47</v>
      </c>
      <c r="D139" s="15" t="s">
        <v>139</v>
      </c>
      <c r="E139" s="28" t="s">
        <v>21</v>
      </c>
      <c r="F139" s="28" t="s">
        <v>140</v>
      </c>
      <c r="G139" s="28"/>
      <c r="H139" s="28"/>
      <c r="I139" s="28"/>
      <c r="J139" s="14" t="str">
        <f t="shared" ca="1" si="5"/>
        <v>Press Release</v>
      </c>
      <c r="L139" s="22" t="str">
        <f ca="1">IFERROR(__xludf.DUMMYFUNCTION("""COMPUTED_VALUE"""),"Priority")</f>
        <v>Priority</v>
      </c>
      <c r="M139" s="29" t="str">
        <f ca="1">IFERROR(__xludf.DUMMYFUNCTION("""COMPUTED_VALUE"""),"https://9fin.com/company/Priority/overview")</f>
        <v>https://9fin.com/company/Priority/overview</v>
      </c>
      <c r="N139" s="22" t="str">
        <f ca="1">IFERROR(__xludf.DUMMYFUNCTION("""COMPUTED_VALUE"""),"Press Release")</f>
        <v>Press Release</v>
      </c>
      <c r="O139" s="29" t="str">
        <f ca="1">IFERROR(__xludf.DUMMYFUNCTION("""COMPUTED_VALUE"""),"https://sec.9fin.com/Archives/edgar/data/1653558/000165355825000128/prth-20251110.htm")</f>
        <v>https://sec.9fin.com/Archives/edgar/data/1653558/000165355825000128/prth-20251110.htm</v>
      </c>
    </row>
    <row r="140" spans="1:15" ht="14.6">
      <c r="A140" s="1"/>
      <c r="B140" s="14" t="str">
        <f t="shared" ca="1" si="4"/>
        <v>Terex's Aerials segment</v>
      </c>
      <c r="C140" s="15" t="s">
        <v>36</v>
      </c>
      <c r="D140" s="15"/>
      <c r="E140" s="28" t="s">
        <v>33</v>
      </c>
      <c r="F140" s="28" t="s">
        <v>135</v>
      </c>
      <c r="G140" s="28"/>
      <c r="H140" s="28"/>
      <c r="I140" s="28"/>
      <c r="J140" s="14" t="str">
        <f t="shared" ca="1" si="5"/>
        <v>Press Release</v>
      </c>
      <c r="L140" s="22" t="str">
        <f ca="1">IFERROR(__xludf.DUMMYFUNCTION("""COMPUTED_VALUE"""),"Terex's Aerials segment")</f>
        <v>Terex's Aerials segment</v>
      </c>
      <c r="M140" s="29" t="str">
        <f ca="1">IFERROR(__xludf.DUMMYFUNCTION("""COMPUTED_VALUE"""),"https://9fin.com/company/Terex/overview")</f>
        <v>https://9fin.com/company/Terex/overview</v>
      </c>
      <c r="N140" s="22" t="str">
        <f ca="1">IFERROR(__xludf.DUMMYFUNCTION("""COMPUTED_VALUE"""),"Press Release")</f>
        <v>Press Release</v>
      </c>
      <c r="O140" s="29" t="str">
        <f ca="1">IFERROR(__xludf.DUMMYFUNCTION("""COMPUTED_VALUE"""),"https://sec.9fin.com/Archives/edgar/data/97216/000110465925104013/tm2529764d1_8k.htm")</f>
        <v>https://sec.9fin.com/Archives/edgar/data/97216/000110465925104013/tm2529764d1_8k.htm</v>
      </c>
    </row>
    <row r="141" spans="1:15" ht="14.6">
      <c r="A141" s="1"/>
      <c r="B141" s="14" t="str">
        <f t="shared" ca="1" si="4"/>
        <v>Ensemble Health Partners</v>
      </c>
      <c r="C141" s="15" t="s">
        <v>22</v>
      </c>
      <c r="D141" s="15" t="s">
        <v>78</v>
      </c>
      <c r="E141" s="28" t="s">
        <v>33</v>
      </c>
      <c r="F141" s="28" t="s">
        <v>137</v>
      </c>
      <c r="G141" s="28"/>
      <c r="H141" s="28"/>
      <c r="I141" s="28"/>
      <c r="J141" s="14" t="str">
        <f t="shared" ca="1" si="5"/>
        <v>Private Equity Wire</v>
      </c>
      <c r="L141" s="22" t="str">
        <f ca="1">IFERROR(__xludf.DUMMYFUNCTION("""COMPUTED_VALUE"""),"Ensemble Health Partners")</f>
        <v>Ensemble Health Partners</v>
      </c>
      <c r="M141" s="29" t="str">
        <f ca="1">IFERROR(__xludf.DUMMYFUNCTION("""COMPUTED_VALUE"""),"https://9fin.com/company/Ensemble%20Health%20Partners/overview")</f>
        <v>https://9fin.com/company/Ensemble%20Health%20Partners/overview</v>
      </c>
      <c r="N141" s="22" t="str">
        <f ca="1">IFERROR(__xludf.DUMMYFUNCTION("""COMPUTED_VALUE"""),"Private Equity Wire")</f>
        <v>Private Equity Wire</v>
      </c>
      <c r="O141" s="29" t="str">
        <f ca="1">IFERROR(__xludf.DUMMYFUNCTION("""COMPUTED_VALUE"""),"https://www.privateequitywire.co.uk/thoreau-group-nears-12bn-acquisition-of-ensemble-health-partners/")</f>
        <v>https://www.privateequitywire.co.uk/thoreau-group-nears-12bn-acquisition-of-ensemble-health-partners/</v>
      </c>
    </row>
    <row r="142" spans="1:15" ht="14.6">
      <c r="A142" s="1"/>
      <c r="B142" s="14" t="str">
        <f t="shared" ca="1" si="4"/>
        <v xml:space="preserve">Viper Energy </v>
      </c>
      <c r="C142" s="15" t="s">
        <v>48</v>
      </c>
      <c r="D142" s="15"/>
      <c r="E142" s="28" t="s">
        <v>33</v>
      </c>
      <c r="F142" s="28" t="s">
        <v>136</v>
      </c>
      <c r="G142" s="28"/>
      <c r="H142" s="28"/>
      <c r="I142" s="28"/>
      <c r="J142" s="14" t="str">
        <f t="shared" ca="1" si="5"/>
        <v>Bloomberg</v>
      </c>
      <c r="L142" s="22" t="str">
        <f ca="1">IFERROR(__xludf.DUMMYFUNCTION("""COMPUTED_VALUE"""),"Viper Energy ")</f>
        <v xml:space="preserve">Viper Energy </v>
      </c>
      <c r="M142" s="29" t="str">
        <f ca="1">IFERROR(__xludf.DUMMYFUNCTION("""COMPUTED_VALUE"""),"https://9fin.com/company/Viper%20Energy/overview")</f>
        <v>https://9fin.com/company/Viper%20Energy/overview</v>
      </c>
      <c r="N142" s="22" t="str">
        <f ca="1">IFERROR(__xludf.DUMMYFUNCTION("""COMPUTED_VALUE"""),"Bloomberg")</f>
        <v>Bloomberg</v>
      </c>
      <c r="O142" s="29" t="str">
        <f ca="1">IFERROR(__xludf.DUMMYFUNCTION("""COMPUTED_VALUE"""),"https://www.bloomberg.com/news/articles/2025-10-09/diamondback-unit-viper-is-said-to-weigh-a-sale-of-non-permian-oil-assets")</f>
        <v>https://www.bloomberg.com/news/articles/2025-10-09/diamondback-unit-viper-is-said-to-weigh-a-sale-of-non-permian-oil-assets</v>
      </c>
    </row>
    <row r="143" spans="1:15" ht="14.6">
      <c r="A143" s="1"/>
      <c r="B143" s="14" t="str">
        <f t="shared" ca="1" si="4"/>
        <v>Cambrex</v>
      </c>
      <c r="C143" s="15" t="s">
        <v>65</v>
      </c>
      <c r="D143" s="15" t="s">
        <v>23</v>
      </c>
      <c r="E143" s="28" t="s">
        <v>33</v>
      </c>
      <c r="F143" s="28" t="s">
        <v>118</v>
      </c>
      <c r="G143" s="28"/>
      <c r="H143" s="28"/>
      <c r="I143" s="28"/>
      <c r="J143" s="14" t="str">
        <f t="shared" ca="1" si="5"/>
        <v>9fin</v>
      </c>
      <c r="L143" s="22" t="str">
        <f ca="1">IFERROR(__xludf.DUMMYFUNCTION("""COMPUTED_VALUE"""),"Cambrex")</f>
        <v>Cambrex</v>
      </c>
      <c r="M143" s="29" t="str">
        <f ca="1">IFERROR(__xludf.DUMMYFUNCTION("""COMPUTED_VALUE"""),"https://9fin.com/company/Cambrex/overview")</f>
        <v>https://9fin.com/company/Cambrex/overview</v>
      </c>
      <c r="N143" s="22" t="str">
        <f ca="1">IFERROR(__xludf.DUMMYFUNCTION("""COMPUTED_VALUE"""),"9fin")</f>
        <v>9fin</v>
      </c>
      <c r="O143" s="29" t="str">
        <f ca="1">IFERROR(__xludf.DUMMYFUNCTION("""COMPUTED_VALUE"""),"https://9fin.com/news/726def0f-d78a-4064-a3bc-3ce6a8f0bb5b")</f>
        <v>https://9fin.com/news/726def0f-d78a-4064-a3bc-3ce6a8f0bb5b</v>
      </c>
    </row>
    <row r="144" spans="1:15" ht="14.6">
      <c r="A144" s="1"/>
      <c r="B144" s="14" t="str">
        <f t="shared" ca="1" si="4"/>
        <v>BeyondTrust</v>
      </c>
      <c r="C144" s="15" t="s">
        <v>22</v>
      </c>
      <c r="D144" s="15"/>
      <c r="E144" s="28" t="s">
        <v>33</v>
      </c>
      <c r="F144" s="28" t="s">
        <v>109</v>
      </c>
      <c r="G144" s="28"/>
      <c r="H144" s="28"/>
      <c r="I144" s="28"/>
      <c r="J144" s="14" t="str">
        <f t="shared" ca="1" si="5"/>
        <v>Bloomberg</v>
      </c>
      <c r="L144" s="22" t="str">
        <f ca="1">IFERROR(__xludf.DUMMYFUNCTION("""COMPUTED_VALUE"""),"BeyondTrust")</f>
        <v>BeyondTrust</v>
      </c>
      <c r="M144" s="29" t="str">
        <f ca="1">IFERROR(__xludf.DUMMYFUNCTION("""COMPUTED_VALUE"""),"https://9fin.com/company/BeyondTrust/overview")</f>
        <v>https://9fin.com/company/BeyondTrust/overview</v>
      </c>
      <c r="N144" s="22" t="str">
        <f ca="1">IFERROR(__xludf.DUMMYFUNCTION("""COMPUTED_VALUE"""),"Bloomberg")</f>
        <v>Bloomberg</v>
      </c>
      <c r="O144" s="29" t="str">
        <f ca="1">IFERROR(__xludf.DUMMYFUNCTION("""COMPUTED_VALUE"""),"https://www.bloomberg.com/news/articles/2025-08-13/beyondtrust-owner-is-said-to-explore-sale-of-cyber-firm?srnd=phx-deals")</f>
        <v>https://www.bloomberg.com/news/articles/2025-08-13/beyondtrust-owner-is-said-to-explore-sale-of-cyber-firm?srnd=phx-deals</v>
      </c>
    </row>
    <row r="145" spans="1:15" ht="14.6">
      <c r="A145" s="1"/>
      <c r="B145" s="14" t="str">
        <f t="shared" ca="1" si="4"/>
        <v>BlackHawk Network</v>
      </c>
      <c r="C145" s="15" t="s">
        <v>18</v>
      </c>
      <c r="D145" s="15" t="s">
        <v>89</v>
      </c>
      <c r="E145" s="28" t="s">
        <v>33</v>
      </c>
      <c r="F145" s="28" t="s">
        <v>104</v>
      </c>
      <c r="G145" s="28"/>
      <c r="H145" s="28"/>
      <c r="I145" s="28"/>
      <c r="J145" s="14" t="str">
        <f t="shared" ca="1" si="5"/>
        <v>Bloomberg</v>
      </c>
      <c r="L145" s="22" t="str">
        <f ca="1">IFERROR(__xludf.DUMMYFUNCTION("""COMPUTED_VALUE"""),"BlackHawk Network")</f>
        <v>BlackHawk Network</v>
      </c>
      <c r="M145" s="29" t="str">
        <f ca="1">IFERROR(__xludf.DUMMYFUNCTION("""COMPUTED_VALUE"""),"https://9fin.com/company/BlackHawk%20Network/overview")</f>
        <v>https://9fin.com/company/BlackHawk%20Network/overview</v>
      </c>
      <c r="N145" s="22" t="str">
        <f ca="1">IFERROR(__xludf.DUMMYFUNCTION("""COMPUTED_VALUE"""),"Bloomberg")</f>
        <v>Bloomberg</v>
      </c>
      <c r="O145" s="29" t="str">
        <f ca="1">IFERROR(__xludf.DUMMYFUNCTION("""COMPUTED_VALUE"""),"https://www.bloomberg.com/news/articles/2025-07-24/gtcr-is-in-talks-to-acquire-prepaid-card-company-blackhawk?srnd=phx-deals")</f>
        <v>https://www.bloomberg.com/news/articles/2025-07-24/gtcr-is-in-talks-to-acquire-prepaid-card-company-blackhawk?srnd=phx-deals</v>
      </c>
    </row>
    <row r="146" spans="1:15" ht="14.6">
      <c r="A146" s="1"/>
      <c r="B146" s="14" t="str">
        <f t="shared" ca="1" si="4"/>
        <v>Canada Goose</v>
      </c>
      <c r="C146" s="15" t="s">
        <v>52</v>
      </c>
      <c r="D146" s="15"/>
      <c r="E146" s="28" t="s">
        <v>33</v>
      </c>
      <c r="F146" s="28" t="s">
        <v>115</v>
      </c>
      <c r="G146" s="28"/>
      <c r="H146" s="28"/>
      <c r="I146" s="28"/>
      <c r="J146" s="14" t="str">
        <f t="shared" ca="1" si="5"/>
        <v>Forbes</v>
      </c>
      <c r="L146" s="22" t="str">
        <f ca="1">IFERROR(__xludf.DUMMYFUNCTION("""COMPUTED_VALUE"""),"Canada Goose")</f>
        <v>Canada Goose</v>
      </c>
      <c r="M146" s="29" t="str">
        <f ca="1">IFERROR(__xludf.DUMMYFUNCTION("""COMPUTED_VALUE"""),"https://9fin.com/company/Canada%20Goose/overview")</f>
        <v>https://9fin.com/company/Canada%20Goose/overview</v>
      </c>
      <c r="N146" s="22" t="str">
        <f ca="1">IFERROR(__xludf.DUMMYFUNCTION("""COMPUTED_VALUE"""),"Forbes")</f>
        <v>Forbes</v>
      </c>
      <c r="O146" s="29" t="str">
        <f ca="1">IFERROR(__xludf.DUMMYFUNCTION("""COMPUTED_VALUE"""),"https://www.forbes.com/sites/markfaithfull/2025/08/27/bain-capital-waits-on-more-bidders-in-14-billion-canada-goose-sale/")</f>
        <v>https://www.forbes.com/sites/markfaithfull/2025/08/27/bain-capital-waits-on-more-bidders-in-14-billion-canada-goose-sale/</v>
      </c>
    </row>
    <row r="147" spans="1:15" ht="12.45">
      <c r="A147" s="1"/>
      <c r="B147" s="1"/>
      <c r="C147" s="1"/>
      <c r="D147" s="1"/>
      <c r="E147" s="1"/>
      <c r="F147" s="1"/>
      <c r="G147" s="1"/>
      <c r="H147" s="1"/>
      <c r="I147" s="1"/>
      <c r="L147" s="22"/>
      <c r="M147" s="22"/>
      <c r="N147" s="22"/>
      <c r="O147" s="22"/>
    </row>
    <row r="148" spans="1:15" ht="12.45">
      <c r="A148" s="1"/>
      <c r="B148" s="1"/>
      <c r="C148" s="1"/>
      <c r="D148" s="1"/>
      <c r="E148" s="1"/>
      <c r="F148" s="1"/>
      <c r="G148" s="1"/>
      <c r="H148" s="1"/>
      <c r="I148" s="1"/>
      <c r="L148" s="22"/>
      <c r="M148" s="22"/>
      <c r="N148" s="22"/>
      <c r="O148" s="22"/>
    </row>
    <row r="149" spans="1:15" ht="12.45">
      <c r="A149" s="1"/>
      <c r="B149" s="1"/>
      <c r="C149" s="1"/>
      <c r="D149" s="1"/>
      <c r="E149" s="1"/>
      <c r="F149" s="1"/>
      <c r="G149" s="1"/>
      <c r="H149" s="1"/>
      <c r="I149" s="1"/>
      <c r="L149" s="22"/>
      <c r="M149" s="22"/>
      <c r="N149" s="22"/>
      <c r="O149" s="22"/>
    </row>
    <row r="150" spans="1:15" ht="12.45">
      <c r="A150" s="1"/>
      <c r="B150" s="1"/>
      <c r="C150" s="1"/>
      <c r="D150" s="1"/>
      <c r="E150" s="1"/>
      <c r="F150" s="1"/>
      <c r="G150" s="1"/>
      <c r="H150" s="1"/>
      <c r="I150" s="1"/>
      <c r="L150" s="22"/>
      <c r="M150" s="22"/>
      <c r="N150" s="22"/>
      <c r="O150" s="22"/>
    </row>
    <row r="151" spans="1:15" ht="12.45">
      <c r="A151" s="1"/>
      <c r="B151" s="1"/>
      <c r="C151" s="1"/>
      <c r="D151" s="1"/>
      <c r="E151" s="1"/>
      <c r="F151" s="1"/>
      <c r="G151" s="1"/>
      <c r="H151" s="1"/>
      <c r="I151" s="1"/>
      <c r="L151" s="22"/>
      <c r="M151" s="22"/>
      <c r="N151" s="22"/>
      <c r="O151" s="22"/>
    </row>
    <row r="152" spans="1:15" ht="12.45">
      <c r="A152" s="1"/>
      <c r="B152" s="1"/>
      <c r="C152" s="1"/>
      <c r="D152" s="1"/>
      <c r="E152" s="1"/>
      <c r="F152" s="1"/>
      <c r="G152" s="1"/>
      <c r="H152" s="1"/>
      <c r="I152" s="1"/>
      <c r="L152" s="22"/>
      <c r="M152" s="22"/>
      <c r="N152" s="22"/>
      <c r="O152" s="22"/>
    </row>
    <row r="153" spans="1:15" ht="12.45">
      <c r="A153" s="1"/>
      <c r="B153" s="1"/>
      <c r="C153" s="1"/>
      <c r="D153" s="1"/>
      <c r="E153" s="1"/>
      <c r="F153" s="1"/>
      <c r="G153" s="1"/>
      <c r="H153" s="1"/>
      <c r="I153" s="1"/>
      <c r="L153" s="22"/>
      <c r="M153" s="22"/>
      <c r="N153" s="22"/>
      <c r="O153" s="22"/>
    </row>
    <row r="154" spans="1:15" ht="12.45">
      <c r="A154" s="1"/>
      <c r="B154" s="1"/>
      <c r="C154" s="1"/>
      <c r="D154" s="1"/>
      <c r="E154" s="1"/>
      <c r="F154" s="1"/>
      <c r="G154" s="1"/>
      <c r="H154" s="1"/>
      <c r="I154" s="1"/>
      <c r="L154" s="22"/>
      <c r="M154" s="22"/>
      <c r="N154" s="22"/>
      <c r="O154" s="22"/>
    </row>
    <row r="155" spans="1:15" ht="12.45">
      <c r="A155" s="1"/>
      <c r="B155" s="1"/>
      <c r="C155" s="1"/>
      <c r="D155" s="1"/>
      <c r="E155" s="1"/>
      <c r="F155" s="1"/>
      <c r="G155" s="1"/>
      <c r="H155" s="1"/>
      <c r="I155" s="1"/>
      <c r="L155" s="22"/>
      <c r="M155" s="22"/>
      <c r="N155" s="22"/>
      <c r="O155" s="22"/>
    </row>
    <row r="156" spans="1:15" ht="12.45">
      <c r="A156" s="1"/>
      <c r="B156" s="1"/>
      <c r="C156" s="1"/>
      <c r="D156" s="1"/>
      <c r="E156" s="1"/>
      <c r="F156" s="1"/>
      <c r="G156" s="1"/>
      <c r="H156" s="1"/>
      <c r="I156" s="1"/>
      <c r="L156" s="22"/>
      <c r="M156" s="22"/>
      <c r="N156" s="22"/>
      <c r="O156" s="22"/>
    </row>
    <row r="157" spans="1:15" ht="12.45">
      <c r="A157" s="1"/>
      <c r="B157" s="1"/>
      <c r="C157" s="1"/>
      <c r="D157" s="1"/>
      <c r="E157" s="1"/>
      <c r="F157" s="1"/>
      <c r="G157" s="1"/>
      <c r="H157" s="1"/>
      <c r="I157" s="1"/>
      <c r="L157" s="22"/>
      <c r="M157" s="22"/>
      <c r="N157" s="22"/>
      <c r="O157" s="22"/>
    </row>
    <row r="158" spans="1:15" ht="12.45">
      <c r="A158" s="1"/>
      <c r="B158" s="1"/>
      <c r="C158" s="1"/>
      <c r="D158" s="1"/>
      <c r="E158" s="1"/>
      <c r="F158" s="1"/>
      <c r="G158" s="1"/>
      <c r="H158" s="1"/>
      <c r="I158" s="1"/>
      <c r="L158" s="22"/>
      <c r="M158" s="22"/>
      <c r="N158" s="22"/>
      <c r="O158" s="22"/>
    </row>
    <row r="159" spans="1:15" ht="12.45">
      <c r="A159" s="1"/>
      <c r="B159" s="1"/>
      <c r="C159" s="1"/>
      <c r="D159" s="1"/>
      <c r="E159" s="1"/>
      <c r="F159" s="1"/>
      <c r="G159" s="1"/>
      <c r="H159" s="1"/>
      <c r="I159" s="1"/>
      <c r="L159" s="22"/>
      <c r="M159" s="22"/>
      <c r="N159" s="22"/>
      <c r="O159" s="22"/>
    </row>
    <row r="160" spans="1:15" ht="12.45">
      <c r="A160" s="1"/>
      <c r="B160" s="1"/>
      <c r="C160" s="1"/>
      <c r="D160" s="1"/>
      <c r="E160" s="1"/>
      <c r="F160" s="1"/>
      <c r="G160" s="1"/>
      <c r="H160" s="1"/>
      <c r="I160" s="1"/>
      <c r="L160" s="22"/>
      <c r="M160" s="22"/>
      <c r="N160" s="22"/>
      <c r="O160" s="22"/>
    </row>
    <row r="161" spans="1:15" ht="12.45">
      <c r="A161" s="1"/>
      <c r="B161" s="1"/>
      <c r="C161" s="1"/>
      <c r="D161" s="1"/>
      <c r="E161" s="1"/>
      <c r="F161" s="1"/>
      <c r="G161" s="1"/>
      <c r="H161" s="1"/>
      <c r="I161" s="1"/>
      <c r="L161" s="22"/>
      <c r="M161" s="22"/>
      <c r="N161" s="22"/>
      <c r="O161" s="22"/>
    </row>
    <row r="162" spans="1:15" ht="12.45">
      <c r="A162" s="1"/>
      <c r="B162" s="1"/>
      <c r="C162" s="1"/>
      <c r="D162" s="1"/>
      <c r="E162" s="1"/>
      <c r="F162" s="1"/>
      <c r="G162" s="1"/>
      <c r="H162" s="1"/>
      <c r="I162" s="1"/>
      <c r="L162" s="22"/>
      <c r="M162" s="22"/>
      <c r="N162" s="22"/>
      <c r="O162" s="22"/>
    </row>
    <row r="163" spans="1:15" ht="12.45">
      <c r="A163" s="1"/>
      <c r="B163" s="1"/>
      <c r="C163" s="1"/>
      <c r="D163" s="1"/>
      <c r="E163" s="1"/>
      <c r="F163" s="1"/>
      <c r="G163" s="1"/>
      <c r="H163" s="1"/>
      <c r="I163" s="1"/>
      <c r="L163" s="22"/>
      <c r="M163" s="22"/>
      <c r="N163" s="22"/>
      <c r="O163" s="22"/>
    </row>
    <row r="164" spans="1:15" ht="12.45">
      <c r="A164" s="1"/>
      <c r="B164" s="1"/>
      <c r="C164" s="1"/>
      <c r="D164" s="1"/>
      <c r="E164" s="1"/>
      <c r="F164" s="1"/>
      <c r="G164" s="1"/>
      <c r="H164" s="1"/>
      <c r="I164" s="1"/>
      <c r="L164" s="22"/>
      <c r="M164" s="22"/>
      <c r="N164" s="22"/>
      <c r="O164" s="22"/>
    </row>
    <row r="165" spans="1:15" ht="12.45">
      <c r="A165" s="1"/>
      <c r="B165" s="1"/>
      <c r="C165" s="1"/>
      <c r="D165" s="1"/>
      <c r="E165" s="1"/>
      <c r="F165" s="1"/>
      <c r="G165" s="1"/>
      <c r="H165" s="1"/>
      <c r="I165" s="1"/>
      <c r="L165" s="22"/>
      <c r="M165" s="22"/>
      <c r="N165" s="22"/>
      <c r="O165" s="22"/>
    </row>
    <row r="166" spans="1:15" ht="12.45">
      <c r="A166" s="1"/>
      <c r="B166" s="1"/>
      <c r="C166" s="1"/>
      <c r="D166" s="1"/>
      <c r="E166" s="1"/>
      <c r="F166" s="1"/>
      <c r="G166" s="1"/>
      <c r="H166" s="1"/>
      <c r="I166" s="1"/>
      <c r="L166" s="22"/>
      <c r="M166" s="22"/>
      <c r="N166" s="22"/>
      <c r="O166" s="22"/>
    </row>
    <row r="167" spans="1:15" ht="12.45">
      <c r="A167" s="1"/>
      <c r="B167" s="1"/>
      <c r="C167" s="1"/>
      <c r="D167" s="1"/>
      <c r="E167" s="1"/>
      <c r="F167" s="1"/>
      <c r="G167" s="1"/>
      <c r="H167" s="1"/>
      <c r="I167" s="1"/>
      <c r="L167" s="22"/>
      <c r="M167" s="22"/>
      <c r="N167" s="22"/>
      <c r="O167" s="22"/>
    </row>
    <row r="168" spans="1:15" ht="12.45">
      <c r="A168" s="1"/>
      <c r="B168" s="1"/>
      <c r="C168" s="1"/>
      <c r="D168" s="1"/>
      <c r="E168" s="1"/>
      <c r="F168" s="1"/>
      <c r="G168" s="1"/>
      <c r="H168" s="1"/>
      <c r="I168" s="1"/>
      <c r="L168" s="22"/>
      <c r="M168" s="22"/>
      <c r="N168" s="22"/>
      <c r="O168" s="22"/>
    </row>
    <row r="169" spans="1:15" ht="12.45">
      <c r="A169" s="1"/>
      <c r="B169" s="1"/>
      <c r="C169" s="1"/>
      <c r="D169" s="1"/>
      <c r="E169" s="1"/>
      <c r="F169" s="1"/>
      <c r="G169" s="1"/>
      <c r="H169" s="1"/>
      <c r="I169" s="1"/>
      <c r="L169" s="22"/>
      <c r="M169" s="22"/>
      <c r="N169" s="22"/>
      <c r="O169" s="22"/>
    </row>
    <row r="170" spans="1:15" ht="12.45">
      <c r="A170" s="1"/>
      <c r="B170" s="1"/>
      <c r="C170" s="1"/>
      <c r="D170" s="1"/>
      <c r="E170" s="1"/>
      <c r="F170" s="1"/>
      <c r="G170" s="1"/>
      <c r="H170" s="1"/>
      <c r="I170" s="1"/>
      <c r="L170" s="22"/>
      <c r="M170" s="22"/>
      <c r="N170" s="22"/>
      <c r="O170" s="22"/>
    </row>
    <row r="171" spans="1:15" ht="12.45">
      <c r="A171" s="1"/>
      <c r="B171" s="1"/>
      <c r="C171" s="1"/>
      <c r="D171" s="1"/>
      <c r="E171" s="1"/>
      <c r="F171" s="1"/>
      <c r="G171" s="1"/>
      <c r="H171" s="1"/>
      <c r="I171" s="1"/>
      <c r="L171" s="22"/>
      <c r="M171" s="22"/>
      <c r="N171" s="22"/>
      <c r="O171" s="22"/>
    </row>
    <row r="172" spans="1:15" ht="12.45">
      <c r="A172" s="1"/>
      <c r="B172" s="1"/>
      <c r="C172" s="1"/>
      <c r="D172" s="1"/>
      <c r="E172" s="1"/>
      <c r="F172" s="1"/>
      <c r="G172" s="1"/>
      <c r="H172" s="1"/>
      <c r="I172" s="1"/>
      <c r="L172" s="22"/>
      <c r="M172" s="22"/>
      <c r="N172" s="22"/>
      <c r="O172" s="22"/>
    </row>
    <row r="173" spans="1:15" ht="12.45">
      <c r="A173" s="1"/>
      <c r="B173" s="1"/>
      <c r="C173" s="1"/>
      <c r="D173" s="1"/>
      <c r="E173" s="1"/>
      <c r="F173" s="1"/>
      <c r="G173" s="1"/>
      <c r="H173" s="1"/>
      <c r="I173" s="1"/>
      <c r="L173" s="22"/>
      <c r="M173" s="22"/>
      <c r="N173" s="22"/>
      <c r="O173" s="22"/>
    </row>
    <row r="174" spans="1:15" ht="12.45">
      <c r="A174" s="1"/>
      <c r="B174" s="1"/>
      <c r="C174" s="1"/>
      <c r="D174" s="1"/>
      <c r="E174" s="1"/>
      <c r="F174" s="1"/>
      <c r="G174" s="1"/>
      <c r="H174" s="1"/>
      <c r="I174" s="1"/>
      <c r="L174" s="22"/>
      <c r="M174" s="22"/>
      <c r="N174" s="22"/>
      <c r="O174" s="22"/>
    </row>
    <row r="175" spans="1:15" ht="12.45">
      <c r="A175" s="1"/>
      <c r="B175" s="1"/>
      <c r="C175" s="1"/>
      <c r="D175" s="1"/>
      <c r="E175" s="1"/>
      <c r="F175" s="1"/>
      <c r="G175" s="1"/>
      <c r="H175" s="1"/>
      <c r="I175" s="1"/>
      <c r="L175" s="22"/>
      <c r="M175" s="22"/>
      <c r="N175" s="22"/>
      <c r="O175" s="22"/>
    </row>
    <row r="176" spans="1:15" ht="12.45">
      <c r="A176" s="1"/>
      <c r="B176" s="1"/>
      <c r="C176" s="1"/>
      <c r="D176" s="1"/>
      <c r="E176" s="1"/>
      <c r="F176" s="1"/>
      <c r="G176" s="1"/>
      <c r="H176" s="1"/>
      <c r="I176" s="1"/>
      <c r="L176" s="22"/>
      <c r="M176" s="22"/>
      <c r="N176" s="22"/>
      <c r="O176" s="22"/>
    </row>
    <row r="177" spans="1:15" ht="12.45">
      <c r="A177" s="1"/>
      <c r="B177" s="1"/>
      <c r="C177" s="1"/>
      <c r="D177" s="1"/>
      <c r="E177" s="1"/>
      <c r="F177" s="1"/>
      <c r="G177" s="1"/>
      <c r="H177" s="1"/>
      <c r="I177" s="1"/>
      <c r="L177" s="22"/>
      <c r="M177" s="22"/>
      <c r="N177" s="22"/>
      <c r="O177" s="22"/>
    </row>
    <row r="178" spans="1:15" ht="12.45">
      <c r="A178" s="1"/>
      <c r="B178" s="1"/>
      <c r="C178" s="1"/>
      <c r="D178" s="1"/>
      <c r="E178" s="1"/>
      <c r="F178" s="1"/>
      <c r="G178" s="1"/>
      <c r="H178" s="1"/>
      <c r="I178" s="1"/>
      <c r="L178" s="22"/>
      <c r="M178" s="22"/>
      <c r="N178" s="22"/>
      <c r="O178" s="22"/>
    </row>
    <row r="179" spans="1:15" ht="12.45">
      <c r="A179" s="1"/>
      <c r="B179" s="1"/>
      <c r="C179" s="1"/>
      <c r="D179" s="1"/>
      <c r="E179" s="1"/>
      <c r="F179" s="1"/>
      <c r="G179" s="1"/>
      <c r="H179" s="1"/>
      <c r="I179" s="1"/>
      <c r="L179" s="22"/>
      <c r="M179" s="22"/>
      <c r="N179" s="22"/>
      <c r="O179" s="22"/>
    </row>
    <row r="180" spans="1:15" ht="12.45">
      <c r="A180" s="1"/>
      <c r="B180" s="1"/>
      <c r="C180" s="1"/>
      <c r="D180" s="1"/>
      <c r="E180" s="1"/>
      <c r="F180" s="1"/>
      <c r="G180" s="1"/>
      <c r="H180" s="1"/>
      <c r="I180" s="1"/>
      <c r="L180" s="22"/>
      <c r="M180" s="22"/>
      <c r="N180" s="22"/>
      <c r="O180" s="22"/>
    </row>
    <row r="181" spans="1:15" ht="12.45">
      <c r="A181" s="1"/>
      <c r="B181" s="1"/>
      <c r="C181" s="1"/>
      <c r="D181" s="1"/>
      <c r="E181" s="1"/>
      <c r="F181" s="1"/>
      <c r="G181" s="1"/>
      <c r="H181" s="1"/>
      <c r="I181" s="1"/>
      <c r="L181" s="22"/>
      <c r="M181" s="22"/>
      <c r="N181" s="22"/>
      <c r="O181" s="22"/>
    </row>
    <row r="182" spans="1:15" ht="12.45">
      <c r="A182" s="1"/>
      <c r="B182" s="1"/>
      <c r="C182" s="1"/>
      <c r="D182" s="1"/>
      <c r="E182" s="1"/>
      <c r="F182" s="1"/>
      <c r="G182" s="1"/>
      <c r="H182" s="1"/>
      <c r="I182" s="1"/>
      <c r="L182" s="22"/>
      <c r="M182" s="22"/>
      <c r="N182" s="22"/>
      <c r="O182" s="22"/>
    </row>
    <row r="183" spans="1:15" ht="12.45">
      <c r="A183" s="1"/>
      <c r="B183" s="1"/>
      <c r="C183" s="1"/>
      <c r="D183" s="1"/>
      <c r="E183" s="1"/>
      <c r="F183" s="1"/>
      <c r="G183" s="1"/>
      <c r="H183" s="1"/>
      <c r="I183" s="1"/>
      <c r="L183" s="22"/>
      <c r="M183" s="22"/>
      <c r="N183" s="22"/>
      <c r="O183" s="22"/>
    </row>
    <row r="184" spans="1:15" ht="12.45">
      <c r="A184" s="1"/>
      <c r="B184" s="1"/>
      <c r="C184" s="1"/>
      <c r="D184" s="1"/>
      <c r="E184" s="1"/>
      <c r="F184" s="1"/>
      <c r="G184" s="1"/>
      <c r="H184" s="1"/>
      <c r="I184" s="1"/>
      <c r="L184" s="22"/>
      <c r="M184" s="22"/>
      <c r="N184" s="22"/>
      <c r="O184" s="22"/>
    </row>
    <row r="185" spans="1:15" ht="12.45">
      <c r="A185" s="1"/>
      <c r="B185" s="1"/>
      <c r="C185" s="1"/>
      <c r="D185" s="1"/>
      <c r="E185" s="1"/>
      <c r="F185" s="1"/>
      <c r="G185" s="1"/>
      <c r="H185" s="1"/>
      <c r="I185" s="1"/>
      <c r="L185" s="22"/>
      <c r="M185" s="22"/>
      <c r="N185" s="22"/>
      <c r="O185" s="22"/>
    </row>
    <row r="186" spans="1:15" ht="12.45">
      <c r="A186" s="1"/>
      <c r="B186" s="1"/>
      <c r="C186" s="1"/>
      <c r="D186" s="1"/>
      <c r="E186" s="1"/>
      <c r="F186" s="1"/>
      <c r="G186" s="1"/>
      <c r="H186" s="1"/>
      <c r="I186" s="1"/>
      <c r="L186" s="22"/>
      <c r="M186" s="22"/>
      <c r="N186" s="22"/>
      <c r="O186" s="22"/>
    </row>
    <row r="187" spans="1:15" ht="12.45">
      <c r="A187" s="1"/>
      <c r="B187" s="1"/>
      <c r="C187" s="1"/>
      <c r="D187" s="1"/>
      <c r="E187" s="1"/>
      <c r="F187" s="1"/>
      <c r="G187" s="1"/>
      <c r="H187" s="1"/>
      <c r="I187" s="1"/>
      <c r="L187" s="22"/>
      <c r="M187" s="22"/>
      <c r="N187" s="22"/>
      <c r="O187" s="22"/>
    </row>
    <row r="188" spans="1:15" ht="12.45">
      <c r="A188" s="1"/>
      <c r="B188" s="1"/>
      <c r="C188" s="1"/>
      <c r="D188" s="1"/>
      <c r="E188" s="1"/>
      <c r="F188" s="1"/>
      <c r="G188" s="1"/>
      <c r="H188" s="1"/>
      <c r="I188" s="1"/>
      <c r="L188" s="22"/>
      <c r="M188" s="22"/>
      <c r="N188" s="22"/>
      <c r="O188" s="22"/>
    </row>
    <row r="189" spans="1:15" ht="12.45">
      <c r="A189" s="1"/>
      <c r="B189" s="1"/>
      <c r="C189" s="1"/>
      <c r="D189" s="1"/>
      <c r="E189" s="1"/>
      <c r="F189" s="1"/>
      <c r="G189" s="1"/>
      <c r="H189" s="1"/>
      <c r="I189" s="1"/>
      <c r="L189" s="22"/>
      <c r="M189" s="22"/>
      <c r="N189" s="22"/>
      <c r="O189" s="22"/>
    </row>
    <row r="190" spans="1:15" ht="12.45">
      <c r="A190" s="1"/>
      <c r="B190" s="1"/>
      <c r="C190" s="1"/>
      <c r="D190" s="1"/>
      <c r="E190" s="1"/>
      <c r="F190" s="1"/>
      <c r="G190" s="1"/>
      <c r="H190" s="1"/>
      <c r="I190" s="1"/>
      <c r="L190" s="22"/>
      <c r="M190" s="22"/>
      <c r="N190" s="22"/>
      <c r="O190" s="22"/>
    </row>
    <row r="191" spans="1:15" ht="12.45">
      <c r="A191" s="1"/>
      <c r="B191" s="1"/>
      <c r="C191" s="1"/>
      <c r="D191" s="1"/>
      <c r="E191" s="1"/>
      <c r="F191" s="1"/>
      <c r="G191" s="1"/>
      <c r="H191" s="1"/>
      <c r="I191" s="1"/>
      <c r="L191" s="22"/>
      <c r="M191" s="22"/>
      <c r="N191" s="22"/>
      <c r="O191" s="22"/>
    </row>
    <row r="192" spans="1:15" ht="12.45">
      <c r="A192" s="1"/>
      <c r="B192" s="1"/>
      <c r="C192" s="1"/>
      <c r="D192" s="1"/>
      <c r="E192" s="1"/>
      <c r="F192" s="1"/>
      <c r="G192" s="1"/>
      <c r="H192" s="1"/>
      <c r="I192" s="1"/>
      <c r="L192" s="22"/>
      <c r="M192" s="22"/>
      <c r="N192" s="22"/>
      <c r="O192" s="22"/>
    </row>
    <row r="193" spans="1:15" ht="12.45">
      <c r="A193" s="1"/>
      <c r="B193" s="1"/>
      <c r="C193" s="1"/>
      <c r="D193" s="1"/>
      <c r="E193" s="1"/>
      <c r="F193" s="1"/>
      <c r="G193" s="1"/>
      <c r="H193" s="1"/>
      <c r="I193" s="1"/>
      <c r="L193" s="22"/>
      <c r="M193" s="22"/>
      <c r="N193" s="22"/>
      <c r="O193" s="22"/>
    </row>
    <row r="194" spans="1:15" ht="12.45">
      <c r="A194" s="1"/>
      <c r="B194" s="1"/>
      <c r="C194" s="1"/>
      <c r="D194" s="1"/>
      <c r="E194" s="1"/>
      <c r="F194" s="1"/>
      <c r="G194" s="1"/>
      <c r="H194" s="1"/>
      <c r="I194" s="1"/>
      <c r="L194" s="22"/>
      <c r="M194" s="22"/>
      <c r="N194" s="22"/>
      <c r="O194" s="22"/>
    </row>
    <row r="195" spans="1:15" ht="12.45">
      <c r="A195" s="1"/>
      <c r="B195" s="1"/>
      <c r="C195" s="1"/>
      <c r="D195" s="1"/>
      <c r="E195" s="1"/>
      <c r="F195" s="1"/>
      <c r="G195" s="1"/>
      <c r="H195" s="1"/>
      <c r="I195" s="1"/>
      <c r="L195" s="22"/>
      <c r="M195" s="22"/>
      <c r="N195" s="22"/>
      <c r="O195" s="22"/>
    </row>
    <row r="196" spans="1:15" ht="12.45">
      <c r="A196" s="1"/>
      <c r="B196" s="1"/>
      <c r="C196" s="1"/>
      <c r="D196" s="1"/>
      <c r="E196" s="1"/>
      <c r="F196" s="1"/>
      <c r="G196" s="1"/>
      <c r="H196" s="1"/>
      <c r="I196" s="1"/>
      <c r="L196" s="22"/>
      <c r="M196" s="22"/>
      <c r="N196" s="22"/>
      <c r="O196" s="22"/>
    </row>
    <row r="197" spans="1:15" ht="12.45">
      <c r="A197" s="1"/>
      <c r="B197" s="1"/>
      <c r="C197" s="1"/>
      <c r="D197" s="1"/>
      <c r="E197" s="1"/>
      <c r="F197" s="1"/>
      <c r="G197" s="1"/>
      <c r="H197" s="1"/>
      <c r="I197" s="1"/>
      <c r="L197" s="22"/>
      <c r="M197" s="22"/>
      <c r="N197" s="22"/>
      <c r="O197" s="22"/>
    </row>
    <row r="198" spans="1:15" ht="12.45">
      <c r="A198" s="1"/>
      <c r="B198" s="1"/>
      <c r="C198" s="1"/>
      <c r="D198" s="1"/>
      <c r="E198" s="1"/>
      <c r="F198" s="1"/>
      <c r="G198" s="1"/>
      <c r="H198" s="1"/>
      <c r="I198" s="1"/>
      <c r="L198" s="22"/>
      <c r="M198" s="22"/>
      <c r="N198" s="22"/>
      <c r="O198" s="22"/>
    </row>
    <row r="199" spans="1:15" ht="12.45">
      <c r="A199" s="1"/>
      <c r="B199" s="1"/>
      <c r="C199" s="1"/>
      <c r="D199" s="1"/>
      <c r="E199" s="1"/>
      <c r="F199" s="1"/>
      <c r="G199" s="1"/>
      <c r="H199" s="1"/>
      <c r="I199" s="1"/>
      <c r="L199" s="22"/>
      <c r="M199" s="22"/>
      <c r="N199" s="22"/>
      <c r="O199" s="22"/>
    </row>
    <row r="200" spans="1:15" ht="12.45">
      <c r="A200" s="1"/>
      <c r="B200" s="1"/>
      <c r="C200" s="1"/>
      <c r="D200" s="1"/>
      <c r="E200" s="1"/>
      <c r="F200" s="1"/>
      <c r="G200" s="1"/>
      <c r="H200" s="1"/>
      <c r="I200" s="1"/>
      <c r="L200" s="22"/>
      <c r="M200" s="22"/>
      <c r="N200" s="22"/>
      <c r="O200" s="22"/>
    </row>
    <row r="201" spans="1:15" ht="12.45">
      <c r="A201" s="1"/>
      <c r="B201" s="1"/>
      <c r="C201" s="1"/>
      <c r="D201" s="1"/>
      <c r="E201" s="1"/>
      <c r="F201" s="1"/>
      <c r="G201" s="1"/>
      <c r="H201" s="1"/>
      <c r="I201" s="1"/>
      <c r="L201" s="22"/>
      <c r="M201" s="22"/>
      <c r="N201" s="22"/>
      <c r="O201" s="22"/>
    </row>
    <row r="202" spans="1:15" ht="12.45">
      <c r="A202" s="1"/>
      <c r="B202" s="1"/>
      <c r="C202" s="1"/>
      <c r="D202" s="1"/>
      <c r="E202" s="1"/>
      <c r="F202" s="1"/>
      <c r="G202" s="1"/>
      <c r="H202" s="1"/>
      <c r="I202" s="1"/>
      <c r="L202" s="22"/>
      <c r="M202" s="22"/>
      <c r="N202" s="22"/>
      <c r="O202" s="22"/>
    </row>
    <row r="203" spans="1:15" ht="12.45">
      <c r="A203" s="1"/>
      <c r="B203" s="1"/>
      <c r="C203" s="1"/>
      <c r="D203" s="1"/>
      <c r="E203" s="1"/>
      <c r="F203" s="1"/>
      <c r="G203" s="1"/>
      <c r="H203" s="1"/>
      <c r="I203" s="1"/>
      <c r="L203" s="22"/>
      <c r="M203" s="22"/>
      <c r="N203" s="22"/>
      <c r="O203" s="22"/>
    </row>
    <row r="204" spans="1:15" ht="12.45">
      <c r="A204" s="1"/>
      <c r="B204" s="1"/>
      <c r="C204" s="1"/>
      <c r="D204" s="1"/>
      <c r="E204" s="1"/>
      <c r="F204" s="1"/>
      <c r="G204" s="1"/>
      <c r="H204" s="1"/>
      <c r="I204" s="1"/>
      <c r="L204" s="22"/>
      <c r="M204" s="22"/>
      <c r="N204" s="22"/>
      <c r="O204" s="22"/>
    </row>
    <row r="205" spans="1:15" ht="12.45">
      <c r="A205" s="1"/>
      <c r="B205" s="1"/>
      <c r="C205" s="1"/>
      <c r="D205" s="1"/>
      <c r="E205" s="1"/>
      <c r="F205" s="1"/>
      <c r="G205" s="1"/>
      <c r="H205" s="1"/>
      <c r="I205" s="1"/>
      <c r="L205" s="22"/>
      <c r="M205" s="22"/>
      <c r="N205" s="22"/>
      <c r="O205" s="22"/>
    </row>
    <row r="206" spans="1:15" ht="12.45">
      <c r="A206" s="1"/>
      <c r="B206" s="1"/>
      <c r="C206" s="1"/>
      <c r="D206" s="1"/>
      <c r="E206" s="1"/>
      <c r="F206" s="1"/>
      <c r="G206" s="1"/>
      <c r="H206" s="1"/>
      <c r="I206" s="1"/>
      <c r="L206" s="22"/>
      <c r="M206" s="22"/>
      <c r="N206" s="22"/>
      <c r="O206" s="22"/>
    </row>
    <row r="207" spans="1:15" ht="12.45">
      <c r="A207" s="1"/>
      <c r="B207" s="1"/>
      <c r="C207" s="1"/>
      <c r="D207" s="1"/>
      <c r="E207" s="1"/>
      <c r="F207" s="1"/>
      <c r="G207" s="1"/>
      <c r="H207" s="1"/>
      <c r="I207" s="1"/>
      <c r="L207" s="22"/>
      <c r="M207" s="22"/>
      <c r="N207" s="22"/>
      <c r="O207" s="22"/>
    </row>
    <row r="208" spans="1:15" ht="12.45">
      <c r="A208" s="1"/>
      <c r="B208" s="1"/>
      <c r="C208" s="1"/>
      <c r="D208" s="1"/>
      <c r="E208" s="1"/>
      <c r="F208" s="1"/>
      <c r="G208" s="1"/>
      <c r="H208" s="1"/>
      <c r="I208" s="1"/>
      <c r="L208" s="22"/>
      <c r="M208" s="22"/>
      <c r="N208" s="22"/>
      <c r="O208" s="22"/>
    </row>
    <row r="209" spans="1:15" ht="12.45">
      <c r="A209" s="1"/>
      <c r="B209" s="1"/>
      <c r="C209" s="1"/>
      <c r="D209" s="1"/>
      <c r="E209" s="1"/>
      <c r="F209" s="1"/>
      <c r="G209" s="1"/>
      <c r="H209" s="1"/>
      <c r="I209" s="1"/>
      <c r="L209" s="22"/>
      <c r="M209" s="22"/>
      <c r="N209" s="22"/>
      <c r="O209" s="22"/>
    </row>
    <row r="210" spans="1:15" ht="12.45">
      <c r="A210" s="1"/>
      <c r="B210" s="1"/>
      <c r="C210" s="1"/>
      <c r="D210" s="1"/>
      <c r="E210" s="1"/>
      <c r="F210" s="1"/>
      <c r="G210" s="1"/>
      <c r="H210" s="1"/>
      <c r="I210" s="1"/>
      <c r="L210" s="22"/>
      <c r="M210" s="22"/>
      <c r="N210" s="22"/>
      <c r="O210" s="22"/>
    </row>
    <row r="211" spans="1:15" ht="12.45">
      <c r="A211" s="1"/>
      <c r="B211" s="1"/>
      <c r="C211" s="1"/>
      <c r="D211" s="1"/>
      <c r="E211" s="1"/>
      <c r="F211" s="1"/>
      <c r="G211" s="1"/>
      <c r="H211" s="1"/>
      <c r="I211" s="1"/>
      <c r="L211" s="22"/>
      <c r="M211" s="22"/>
      <c r="N211" s="22"/>
      <c r="O211" s="22"/>
    </row>
    <row r="212" spans="1:15" ht="12.45">
      <c r="A212" s="1"/>
      <c r="B212" s="1"/>
      <c r="C212" s="1"/>
      <c r="D212" s="1"/>
      <c r="E212" s="1"/>
      <c r="F212" s="1"/>
      <c r="G212" s="1"/>
      <c r="H212" s="1"/>
      <c r="I212" s="1"/>
      <c r="L212" s="22"/>
      <c r="M212" s="22"/>
      <c r="N212" s="22"/>
      <c r="O212" s="22"/>
    </row>
    <row r="213" spans="1:15" ht="12.45">
      <c r="A213" s="1"/>
      <c r="B213" s="1"/>
      <c r="C213" s="1"/>
      <c r="D213" s="1"/>
      <c r="E213" s="1"/>
      <c r="F213" s="1"/>
      <c r="G213" s="1"/>
      <c r="H213" s="1"/>
      <c r="I213" s="1"/>
      <c r="L213" s="22"/>
      <c r="M213" s="22"/>
      <c r="N213" s="22"/>
      <c r="O213" s="22"/>
    </row>
    <row r="214" spans="1:15" ht="12.45">
      <c r="A214" s="1"/>
      <c r="B214" s="1"/>
      <c r="C214" s="1"/>
      <c r="D214" s="1"/>
      <c r="E214" s="1"/>
      <c r="F214" s="1"/>
      <c r="G214" s="1"/>
      <c r="H214" s="1"/>
      <c r="I214" s="1"/>
      <c r="L214" s="22"/>
      <c r="M214" s="22"/>
      <c r="N214" s="22"/>
      <c r="O214" s="22"/>
    </row>
    <row r="215" spans="1:15" ht="12.45">
      <c r="A215" s="1"/>
      <c r="B215" s="1"/>
      <c r="C215" s="1"/>
      <c r="D215" s="1"/>
      <c r="E215" s="1"/>
      <c r="F215" s="1"/>
      <c r="G215" s="1"/>
      <c r="H215" s="1"/>
      <c r="I215" s="1"/>
      <c r="L215" s="22"/>
      <c r="M215" s="22"/>
      <c r="N215" s="22"/>
      <c r="O215" s="22"/>
    </row>
    <row r="216" spans="1:15" ht="12.45">
      <c r="A216" s="1"/>
      <c r="B216" s="1"/>
      <c r="C216" s="1"/>
      <c r="D216" s="1"/>
      <c r="E216" s="1"/>
      <c r="F216" s="1"/>
      <c r="G216" s="1"/>
      <c r="H216" s="1"/>
      <c r="I216" s="1"/>
      <c r="L216" s="22"/>
      <c r="M216" s="22"/>
      <c r="N216" s="22"/>
      <c r="O216" s="22"/>
    </row>
    <row r="217" spans="1:15" ht="12.45">
      <c r="A217" s="1"/>
      <c r="B217" s="1"/>
      <c r="C217" s="1"/>
      <c r="D217" s="1"/>
      <c r="E217" s="1"/>
      <c r="F217" s="1"/>
      <c r="G217" s="1"/>
      <c r="H217" s="1"/>
      <c r="I217" s="1"/>
      <c r="L217" s="22"/>
      <c r="M217" s="22"/>
      <c r="N217" s="22"/>
      <c r="O217" s="22"/>
    </row>
    <row r="218" spans="1:15" ht="12.45">
      <c r="A218" s="1"/>
      <c r="B218" s="1"/>
      <c r="C218" s="1"/>
      <c r="D218" s="1"/>
      <c r="E218" s="1"/>
      <c r="F218" s="1"/>
      <c r="G218" s="1"/>
      <c r="H218" s="1"/>
      <c r="I218" s="1"/>
      <c r="L218" s="22"/>
      <c r="M218" s="22"/>
      <c r="N218" s="22"/>
      <c r="O218" s="22"/>
    </row>
    <row r="219" spans="1:15" ht="12.45">
      <c r="A219" s="1"/>
      <c r="B219" s="1"/>
      <c r="C219" s="1"/>
      <c r="D219" s="1"/>
      <c r="E219" s="1"/>
      <c r="F219" s="1"/>
      <c r="G219" s="1"/>
      <c r="H219" s="1"/>
      <c r="I219" s="1"/>
      <c r="L219" s="22"/>
      <c r="M219" s="22"/>
      <c r="N219" s="22"/>
      <c r="O219" s="22"/>
    </row>
    <row r="220" spans="1:15" ht="12.45">
      <c r="A220" s="1"/>
      <c r="B220" s="1"/>
      <c r="C220" s="1"/>
      <c r="D220" s="1"/>
      <c r="E220" s="1"/>
      <c r="F220" s="1"/>
      <c r="G220" s="1"/>
      <c r="H220" s="1"/>
      <c r="I220" s="1"/>
      <c r="L220" s="22"/>
      <c r="M220" s="22"/>
      <c r="N220" s="22"/>
      <c r="O220" s="22"/>
    </row>
    <row r="221" spans="1:15" ht="12.45">
      <c r="A221" s="1"/>
      <c r="B221" s="1"/>
      <c r="C221" s="1"/>
      <c r="D221" s="1"/>
      <c r="E221" s="1"/>
      <c r="F221" s="1"/>
      <c r="G221" s="1"/>
      <c r="H221" s="1"/>
      <c r="I221" s="1"/>
      <c r="L221" s="22"/>
      <c r="M221" s="22"/>
      <c r="N221" s="22"/>
      <c r="O221" s="22"/>
    </row>
    <row r="222" spans="1:15" ht="12.45">
      <c r="A222" s="1"/>
      <c r="B222" s="1"/>
      <c r="C222" s="1"/>
      <c r="D222" s="1"/>
      <c r="E222" s="1"/>
      <c r="F222" s="1"/>
      <c r="G222" s="1"/>
      <c r="H222" s="1"/>
      <c r="I222" s="1"/>
      <c r="L222" s="22"/>
      <c r="M222" s="22"/>
      <c r="N222" s="22"/>
      <c r="O222" s="22"/>
    </row>
    <row r="223" spans="1:15" ht="12.45">
      <c r="A223" s="1"/>
      <c r="B223" s="1"/>
      <c r="C223" s="1"/>
      <c r="D223" s="1"/>
      <c r="E223" s="1"/>
      <c r="F223" s="1"/>
      <c r="G223" s="1"/>
      <c r="H223" s="1"/>
      <c r="I223" s="1"/>
      <c r="L223" s="22"/>
      <c r="M223" s="22"/>
      <c r="N223" s="22"/>
      <c r="O223" s="22"/>
    </row>
    <row r="224" spans="1:15" ht="12.45">
      <c r="A224" s="1"/>
      <c r="B224" s="1"/>
      <c r="C224" s="1"/>
      <c r="D224" s="1"/>
      <c r="E224" s="1"/>
      <c r="F224" s="1"/>
      <c r="G224" s="1"/>
      <c r="H224" s="1"/>
      <c r="I224" s="1"/>
      <c r="L224" s="22"/>
      <c r="M224" s="22"/>
      <c r="N224" s="22"/>
      <c r="O224" s="22"/>
    </row>
    <row r="225" spans="1:15" ht="12.45">
      <c r="A225" s="1"/>
      <c r="B225" s="1"/>
      <c r="C225" s="1"/>
      <c r="D225" s="1"/>
      <c r="E225" s="1"/>
      <c r="F225" s="1"/>
      <c r="G225" s="1"/>
      <c r="H225" s="1"/>
      <c r="I225" s="1"/>
      <c r="L225" s="22"/>
      <c r="M225" s="22"/>
      <c r="N225" s="22"/>
      <c r="O225" s="22"/>
    </row>
    <row r="226" spans="1:15" ht="12.45">
      <c r="A226" s="1"/>
      <c r="B226" s="1"/>
      <c r="C226" s="1"/>
      <c r="D226" s="1"/>
      <c r="E226" s="1"/>
      <c r="F226" s="1"/>
      <c r="G226" s="1"/>
      <c r="H226" s="1"/>
      <c r="I226" s="1"/>
      <c r="L226" s="22"/>
      <c r="M226" s="22"/>
      <c r="N226" s="22"/>
      <c r="O226" s="22"/>
    </row>
    <row r="227" spans="1:15" ht="12.45">
      <c r="A227" s="1"/>
      <c r="B227" s="1"/>
      <c r="C227" s="1"/>
      <c r="D227" s="1"/>
      <c r="E227" s="1"/>
      <c r="F227" s="1"/>
      <c r="G227" s="1"/>
      <c r="H227" s="1"/>
      <c r="I227" s="1"/>
      <c r="L227" s="22"/>
      <c r="M227" s="22"/>
      <c r="N227" s="22"/>
      <c r="O227" s="22"/>
    </row>
    <row r="228" spans="1:15" ht="12.45">
      <c r="A228" s="1"/>
      <c r="B228" s="1"/>
      <c r="C228" s="1"/>
      <c r="D228" s="1"/>
      <c r="E228" s="1"/>
      <c r="F228" s="1"/>
      <c r="G228" s="1"/>
      <c r="H228" s="1"/>
      <c r="I228" s="1"/>
      <c r="L228" s="22"/>
      <c r="M228" s="22"/>
      <c r="N228" s="22"/>
      <c r="O228" s="22"/>
    </row>
    <row r="229" spans="1:15" ht="12.45">
      <c r="A229" s="1"/>
      <c r="B229" s="1"/>
      <c r="C229" s="1"/>
      <c r="D229" s="1"/>
      <c r="E229" s="1"/>
      <c r="F229" s="1"/>
      <c r="G229" s="1"/>
      <c r="H229" s="1"/>
      <c r="I229" s="1"/>
      <c r="L229" s="22"/>
      <c r="M229" s="22"/>
      <c r="N229" s="22"/>
      <c r="O229" s="22"/>
    </row>
    <row r="230" spans="1:15" ht="12.45">
      <c r="A230" s="1"/>
      <c r="B230" s="1"/>
      <c r="C230" s="1"/>
      <c r="D230" s="1"/>
      <c r="E230" s="1"/>
      <c r="F230" s="1"/>
      <c r="G230" s="1"/>
      <c r="H230" s="1"/>
      <c r="I230" s="1"/>
      <c r="L230" s="22"/>
      <c r="M230" s="22"/>
      <c r="N230" s="22"/>
      <c r="O230" s="22"/>
    </row>
    <row r="231" spans="1:15" ht="12.45">
      <c r="A231" s="1"/>
      <c r="B231" s="1"/>
      <c r="C231" s="1"/>
      <c r="D231" s="1"/>
      <c r="E231" s="1"/>
      <c r="F231" s="1"/>
      <c r="G231" s="1"/>
      <c r="H231" s="1"/>
      <c r="I231" s="1"/>
      <c r="L231" s="22"/>
      <c r="M231" s="22"/>
      <c r="N231" s="22"/>
      <c r="O231" s="22"/>
    </row>
    <row r="232" spans="1:15" ht="12.45">
      <c r="A232" s="1"/>
      <c r="B232" s="1"/>
      <c r="C232" s="1"/>
      <c r="D232" s="1"/>
      <c r="E232" s="1"/>
      <c r="F232" s="1"/>
      <c r="G232" s="1"/>
      <c r="H232" s="1"/>
      <c r="I232" s="1"/>
      <c r="L232" s="22"/>
      <c r="M232" s="22"/>
      <c r="N232" s="22"/>
      <c r="O232" s="22"/>
    </row>
    <row r="233" spans="1:15" ht="12.45">
      <c r="A233" s="1"/>
      <c r="B233" s="1"/>
      <c r="C233" s="1"/>
      <c r="D233" s="1"/>
      <c r="E233" s="1"/>
      <c r="F233" s="1"/>
      <c r="G233" s="1"/>
      <c r="H233" s="1"/>
      <c r="I233" s="1"/>
      <c r="L233" s="22"/>
      <c r="M233" s="22"/>
      <c r="N233" s="22"/>
      <c r="O233" s="22"/>
    </row>
    <row r="234" spans="1:15" ht="12.45">
      <c r="A234" s="1"/>
      <c r="B234" s="1"/>
      <c r="C234" s="1"/>
      <c r="D234" s="1"/>
      <c r="E234" s="1"/>
      <c r="F234" s="1"/>
      <c r="G234" s="1"/>
      <c r="H234" s="1"/>
      <c r="I234" s="1"/>
      <c r="L234" s="22"/>
      <c r="M234" s="22"/>
      <c r="N234" s="22"/>
      <c r="O234" s="22"/>
    </row>
    <row r="235" spans="1:15" ht="12.45">
      <c r="A235" s="1"/>
      <c r="B235" s="1"/>
      <c r="C235" s="1"/>
      <c r="D235" s="1"/>
      <c r="E235" s="1"/>
      <c r="F235" s="1"/>
      <c r="G235" s="1"/>
      <c r="H235" s="1"/>
      <c r="I235" s="1"/>
      <c r="L235" s="22"/>
      <c r="M235" s="22"/>
      <c r="N235" s="22"/>
      <c r="O235" s="22"/>
    </row>
    <row r="236" spans="1:15" ht="12.45">
      <c r="A236" s="1"/>
      <c r="B236" s="1"/>
      <c r="C236" s="1"/>
      <c r="D236" s="1"/>
      <c r="E236" s="1"/>
      <c r="F236" s="1"/>
      <c r="G236" s="1"/>
      <c r="H236" s="1"/>
      <c r="I236" s="1"/>
      <c r="L236" s="22"/>
      <c r="M236" s="22"/>
      <c r="N236" s="22"/>
      <c r="O236" s="22"/>
    </row>
    <row r="237" spans="1:15" ht="12.45">
      <c r="A237" s="1"/>
      <c r="B237" s="1"/>
      <c r="C237" s="1"/>
      <c r="D237" s="1"/>
      <c r="E237" s="1"/>
      <c r="F237" s="1"/>
      <c r="G237" s="1"/>
      <c r="H237" s="1"/>
      <c r="I237" s="1"/>
      <c r="L237" s="22"/>
      <c r="M237" s="22"/>
      <c r="N237" s="22"/>
      <c r="O237" s="22"/>
    </row>
    <row r="238" spans="1:15" ht="12.45">
      <c r="A238" s="1"/>
      <c r="B238" s="1"/>
      <c r="C238" s="1"/>
      <c r="D238" s="1"/>
      <c r="E238" s="1"/>
      <c r="F238" s="1"/>
      <c r="G238" s="1"/>
      <c r="H238" s="1"/>
      <c r="I238" s="1"/>
      <c r="L238" s="22"/>
      <c r="M238" s="22"/>
      <c r="N238" s="22"/>
      <c r="O238" s="22"/>
    </row>
    <row r="239" spans="1:15" ht="12.45">
      <c r="A239" s="1"/>
      <c r="B239" s="1"/>
      <c r="C239" s="1"/>
      <c r="D239" s="1"/>
      <c r="E239" s="1"/>
      <c r="F239" s="1"/>
      <c r="G239" s="1"/>
      <c r="H239" s="1"/>
      <c r="I239" s="1"/>
      <c r="L239" s="22"/>
      <c r="M239" s="22"/>
      <c r="N239" s="22"/>
      <c r="O239" s="22"/>
    </row>
    <row r="240" spans="1:15" ht="12.45">
      <c r="A240" s="1"/>
      <c r="B240" s="1"/>
      <c r="C240" s="1"/>
      <c r="D240" s="1"/>
      <c r="E240" s="1"/>
      <c r="F240" s="1"/>
      <c r="G240" s="1"/>
      <c r="H240" s="1"/>
      <c r="I240" s="1"/>
      <c r="L240" s="22"/>
      <c r="M240" s="22"/>
      <c r="N240" s="22"/>
      <c r="O240" s="22"/>
    </row>
    <row r="241" spans="1:15" ht="12.45">
      <c r="A241" s="1"/>
      <c r="B241" s="1"/>
      <c r="C241" s="1"/>
      <c r="D241" s="1"/>
      <c r="E241" s="1"/>
      <c r="F241" s="1"/>
      <c r="G241" s="1"/>
      <c r="H241" s="1"/>
      <c r="I241" s="1"/>
      <c r="L241" s="22"/>
      <c r="M241" s="22"/>
      <c r="N241" s="22"/>
      <c r="O241" s="22"/>
    </row>
    <row r="242" spans="1:15" ht="12.45">
      <c r="A242" s="1"/>
      <c r="B242" s="1"/>
      <c r="C242" s="1"/>
      <c r="D242" s="1"/>
      <c r="E242" s="1"/>
      <c r="F242" s="1"/>
      <c r="G242" s="1"/>
      <c r="H242" s="1"/>
      <c r="I242" s="1"/>
      <c r="L242" s="22"/>
      <c r="M242" s="22"/>
      <c r="N242" s="22"/>
      <c r="O242" s="22"/>
    </row>
    <row r="243" spans="1:15" ht="12.45">
      <c r="A243" s="1"/>
      <c r="B243" s="1"/>
      <c r="C243" s="1"/>
      <c r="D243" s="1"/>
      <c r="E243" s="1"/>
      <c r="F243" s="1"/>
      <c r="G243" s="1"/>
      <c r="H243" s="1"/>
      <c r="I243" s="1"/>
      <c r="L243" s="22"/>
      <c r="M243" s="22"/>
      <c r="N243" s="22"/>
      <c r="O243" s="22"/>
    </row>
    <row r="244" spans="1:15" ht="12.45">
      <c r="A244" s="1"/>
      <c r="B244" s="1"/>
      <c r="C244" s="1"/>
      <c r="D244" s="1"/>
      <c r="E244" s="1"/>
      <c r="F244" s="1"/>
      <c r="G244" s="1"/>
      <c r="H244" s="1"/>
      <c r="I244" s="1"/>
      <c r="L244" s="22"/>
      <c r="M244" s="22"/>
      <c r="N244" s="22"/>
      <c r="O244" s="22"/>
    </row>
    <row r="245" spans="1:15" ht="12.45">
      <c r="A245" s="1"/>
      <c r="B245" s="1"/>
      <c r="C245" s="1"/>
      <c r="D245" s="1"/>
      <c r="E245" s="1"/>
      <c r="F245" s="1"/>
      <c r="G245" s="1"/>
      <c r="H245" s="1"/>
      <c r="I245" s="1"/>
      <c r="L245" s="22"/>
      <c r="M245" s="22"/>
      <c r="N245" s="22"/>
      <c r="O245" s="22"/>
    </row>
    <row r="246" spans="1:15" ht="12.45">
      <c r="A246" s="1"/>
      <c r="B246" s="1"/>
      <c r="C246" s="1"/>
      <c r="D246" s="1"/>
      <c r="E246" s="1"/>
      <c r="F246" s="1"/>
      <c r="G246" s="1"/>
      <c r="H246" s="1"/>
      <c r="I246" s="1"/>
      <c r="L246" s="22"/>
      <c r="M246" s="22"/>
      <c r="N246" s="22"/>
      <c r="O246" s="22"/>
    </row>
    <row r="247" spans="1:15" ht="12.45">
      <c r="A247" s="1"/>
      <c r="B247" s="1"/>
      <c r="C247" s="1"/>
      <c r="D247" s="1"/>
      <c r="E247" s="1"/>
      <c r="F247" s="1"/>
      <c r="G247" s="1"/>
      <c r="H247" s="1"/>
      <c r="I247" s="1"/>
      <c r="L247" s="22"/>
      <c r="M247" s="22"/>
      <c r="N247" s="22"/>
      <c r="O247" s="22"/>
    </row>
    <row r="248" spans="1:15" ht="12.45">
      <c r="A248" s="1"/>
      <c r="B248" s="1"/>
      <c r="C248" s="1"/>
      <c r="D248" s="1"/>
      <c r="E248" s="1"/>
      <c r="F248" s="1"/>
      <c r="G248" s="1"/>
      <c r="H248" s="1"/>
      <c r="I248" s="1"/>
      <c r="L248" s="22"/>
      <c r="M248" s="22"/>
      <c r="N248" s="22"/>
      <c r="O248" s="22"/>
    </row>
    <row r="249" spans="1:15" ht="12.45">
      <c r="A249" s="1"/>
      <c r="B249" s="1"/>
      <c r="C249" s="1"/>
      <c r="D249" s="1"/>
      <c r="E249" s="1"/>
      <c r="F249" s="1"/>
      <c r="G249" s="1"/>
      <c r="H249" s="1"/>
      <c r="I249" s="1"/>
      <c r="L249" s="22"/>
      <c r="M249" s="22"/>
      <c r="N249" s="22"/>
      <c r="O249" s="22"/>
    </row>
    <row r="250" spans="1:15" ht="12.45">
      <c r="A250" s="1"/>
      <c r="B250" s="1"/>
      <c r="C250" s="1"/>
      <c r="D250" s="1"/>
      <c r="E250" s="1"/>
      <c r="F250" s="1"/>
      <c r="G250" s="1"/>
      <c r="H250" s="1"/>
      <c r="I250" s="1"/>
      <c r="L250" s="22"/>
      <c r="M250" s="22"/>
      <c r="N250" s="22"/>
      <c r="O250" s="22"/>
    </row>
    <row r="251" spans="1:15" ht="12.45">
      <c r="A251" s="1"/>
      <c r="B251" s="1"/>
      <c r="C251" s="1"/>
      <c r="D251" s="1"/>
      <c r="E251" s="1"/>
      <c r="F251" s="1"/>
      <c r="G251" s="1"/>
      <c r="H251" s="1"/>
      <c r="I251" s="1"/>
      <c r="L251" s="22"/>
      <c r="M251" s="22"/>
      <c r="N251" s="22"/>
      <c r="O251" s="22"/>
    </row>
    <row r="252" spans="1:15" ht="12.45">
      <c r="A252" s="1"/>
      <c r="B252" s="1"/>
      <c r="C252" s="1"/>
      <c r="D252" s="1"/>
      <c r="E252" s="1"/>
      <c r="F252" s="1"/>
      <c r="G252" s="1"/>
      <c r="H252" s="1"/>
      <c r="I252" s="1"/>
      <c r="L252" s="22"/>
      <c r="M252" s="22"/>
      <c r="N252" s="22"/>
      <c r="O252" s="22"/>
    </row>
    <row r="253" spans="1:15" ht="12.45">
      <c r="A253" s="1"/>
      <c r="B253" s="1"/>
      <c r="C253" s="1"/>
      <c r="D253" s="1"/>
      <c r="E253" s="1"/>
      <c r="F253" s="1"/>
      <c r="G253" s="1"/>
      <c r="H253" s="1"/>
      <c r="I253" s="1"/>
      <c r="L253" s="22"/>
      <c r="M253" s="22"/>
      <c r="N253" s="22"/>
      <c r="O253" s="22"/>
    </row>
    <row r="254" spans="1:15" ht="12.45">
      <c r="A254" s="1"/>
      <c r="B254" s="1"/>
      <c r="C254" s="1"/>
      <c r="D254" s="1"/>
      <c r="E254" s="1"/>
      <c r="F254" s="1"/>
      <c r="G254" s="1"/>
      <c r="H254" s="1"/>
      <c r="I254" s="1"/>
      <c r="L254" s="22"/>
      <c r="M254" s="22"/>
      <c r="N254" s="22"/>
      <c r="O254" s="22"/>
    </row>
    <row r="255" spans="1:15" ht="12.45">
      <c r="A255" s="1"/>
      <c r="B255" s="1"/>
      <c r="C255" s="1"/>
      <c r="D255" s="1"/>
      <c r="E255" s="1"/>
      <c r="F255" s="1"/>
      <c r="G255" s="1"/>
      <c r="H255" s="1"/>
      <c r="I255" s="1"/>
      <c r="L255" s="22"/>
      <c r="M255" s="22"/>
      <c r="N255" s="22"/>
      <c r="O255" s="22"/>
    </row>
    <row r="256" spans="1:15" ht="12.45">
      <c r="A256" s="1"/>
      <c r="B256" s="1"/>
      <c r="C256" s="1"/>
      <c r="D256" s="1"/>
      <c r="E256" s="1"/>
      <c r="F256" s="1"/>
      <c r="G256" s="1"/>
      <c r="H256" s="1"/>
      <c r="I256" s="1"/>
      <c r="L256" s="22"/>
      <c r="M256" s="22"/>
      <c r="N256" s="22"/>
      <c r="O256" s="22"/>
    </row>
    <row r="257" spans="1:15" ht="12.45">
      <c r="A257" s="1"/>
      <c r="B257" s="1"/>
      <c r="C257" s="1"/>
      <c r="D257" s="1"/>
      <c r="E257" s="1"/>
      <c r="F257" s="1"/>
      <c r="G257" s="1"/>
      <c r="H257" s="1"/>
      <c r="I257" s="1"/>
      <c r="L257" s="22"/>
      <c r="M257" s="22"/>
      <c r="N257" s="22"/>
      <c r="O257" s="22"/>
    </row>
    <row r="258" spans="1:15" ht="12.45">
      <c r="A258" s="1"/>
      <c r="B258" s="1"/>
      <c r="C258" s="1"/>
      <c r="D258" s="1"/>
      <c r="E258" s="1"/>
      <c r="F258" s="1"/>
      <c r="G258" s="1"/>
      <c r="H258" s="1"/>
      <c r="I258" s="1"/>
      <c r="L258" s="22"/>
      <c r="M258" s="22"/>
      <c r="N258" s="22"/>
      <c r="O258" s="22"/>
    </row>
    <row r="259" spans="1:15" ht="12.45">
      <c r="A259" s="1"/>
      <c r="B259" s="1"/>
      <c r="C259" s="1"/>
      <c r="D259" s="1"/>
      <c r="E259" s="1"/>
      <c r="F259" s="1"/>
      <c r="G259" s="1"/>
      <c r="H259" s="1"/>
      <c r="I259" s="1"/>
      <c r="L259" s="22"/>
      <c r="M259" s="22"/>
      <c r="N259" s="22"/>
      <c r="O259" s="22"/>
    </row>
    <row r="260" spans="1:15" ht="12.45">
      <c r="A260" s="1"/>
      <c r="B260" s="1"/>
      <c r="C260" s="1"/>
      <c r="D260" s="1"/>
      <c r="E260" s="1"/>
      <c r="F260" s="1"/>
      <c r="G260" s="1"/>
      <c r="H260" s="1"/>
      <c r="I260" s="1"/>
      <c r="L260" s="22"/>
      <c r="M260" s="22"/>
      <c r="N260" s="22"/>
      <c r="O260" s="22"/>
    </row>
    <row r="261" spans="1:15" ht="12.45">
      <c r="A261" s="1"/>
      <c r="B261" s="1"/>
      <c r="C261" s="1"/>
      <c r="D261" s="1"/>
      <c r="E261" s="1"/>
      <c r="F261" s="1"/>
      <c r="G261" s="1"/>
      <c r="H261" s="1"/>
      <c r="I261" s="1"/>
      <c r="L261" s="22"/>
      <c r="M261" s="22"/>
      <c r="N261" s="22"/>
      <c r="O261" s="22"/>
    </row>
    <row r="262" spans="1:15" ht="12.45">
      <c r="A262" s="1"/>
      <c r="B262" s="1"/>
      <c r="C262" s="1"/>
      <c r="D262" s="1"/>
      <c r="E262" s="1"/>
      <c r="F262" s="1"/>
      <c r="G262" s="1"/>
      <c r="H262" s="1"/>
      <c r="I262" s="1"/>
      <c r="L262" s="22"/>
      <c r="M262" s="22"/>
      <c r="N262" s="22"/>
      <c r="O262" s="22"/>
    </row>
    <row r="263" spans="1:15" ht="12.45">
      <c r="A263" s="1"/>
      <c r="B263" s="1"/>
      <c r="C263" s="1"/>
      <c r="D263" s="1"/>
      <c r="E263" s="1"/>
      <c r="F263" s="1"/>
      <c r="G263" s="1"/>
      <c r="H263" s="1"/>
      <c r="I263" s="1"/>
      <c r="L263" s="22"/>
      <c r="M263" s="22"/>
      <c r="N263" s="22"/>
      <c r="O263" s="22"/>
    </row>
    <row r="264" spans="1:15" ht="12.45">
      <c r="A264" s="1"/>
      <c r="B264" s="1"/>
      <c r="C264" s="1"/>
      <c r="D264" s="1"/>
      <c r="E264" s="1"/>
      <c r="F264" s="1"/>
      <c r="G264" s="1"/>
      <c r="H264" s="1"/>
      <c r="I264" s="1"/>
      <c r="L264" s="22"/>
      <c r="M264" s="22"/>
      <c r="N264" s="22"/>
      <c r="O264" s="22"/>
    </row>
    <row r="265" spans="1:15" ht="12.45">
      <c r="A265" s="1"/>
      <c r="B265" s="1"/>
      <c r="C265" s="1"/>
      <c r="D265" s="1"/>
      <c r="E265" s="1"/>
      <c r="F265" s="1"/>
      <c r="G265" s="1"/>
      <c r="H265" s="1"/>
      <c r="I265" s="1"/>
      <c r="L265" s="22"/>
      <c r="M265" s="22"/>
      <c r="N265" s="22"/>
      <c r="O265" s="22"/>
    </row>
    <row r="266" spans="1:15" ht="12.45">
      <c r="A266" s="1"/>
      <c r="B266" s="1"/>
      <c r="C266" s="1"/>
      <c r="D266" s="1"/>
      <c r="E266" s="1"/>
      <c r="F266" s="1"/>
      <c r="G266" s="1"/>
      <c r="H266" s="1"/>
      <c r="I266" s="1"/>
      <c r="L266" s="22"/>
      <c r="M266" s="22"/>
      <c r="N266" s="22"/>
      <c r="O266" s="22"/>
    </row>
    <row r="267" spans="1:15" ht="12.45">
      <c r="A267" s="1"/>
      <c r="B267" s="1"/>
      <c r="C267" s="1"/>
      <c r="D267" s="1"/>
      <c r="E267" s="1"/>
      <c r="F267" s="1"/>
      <c r="G267" s="1"/>
      <c r="H267" s="1"/>
      <c r="I267" s="1"/>
      <c r="L267" s="22"/>
      <c r="M267" s="22"/>
      <c r="N267" s="22"/>
      <c r="O267" s="22"/>
    </row>
    <row r="268" spans="1:15" ht="12.45">
      <c r="A268" s="1"/>
      <c r="B268" s="1"/>
      <c r="C268" s="1"/>
      <c r="D268" s="1"/>
      <c r="E268" s="1"/>
      <c r="F268" s="1"/>
      <c r="G268" s="1"/>
      <c r="H268" s="1"/>
      <c r="I268" s="1"/>
      <c r="L268" s="22"/>
      <c r="M268" s="22"/>
      <c r="N268" s="22"/>
      <c r="O268" s="22"/>
    </row>
    <row r="269" spans="1:15" ht="12.45">
      <c r="A269" s="1"/>
      <c r="B269" s="1"/>
      <c r="C269" s="1"/>
      <c r="D269" s="1"/>
      <c r="E269" s="1"/>
      <c r="F269" s="1"/>
      <c r="G269" s="1"/>
      <c r="H269" s="1"/>
      <c r="I269" s="1"/>
      <c r="L269" s="22"/>
      <c r="M269" s="22"/>
      <c r="N269" s="22"/>
      <c r="O269" s="22"/>
    </row>
    <row r="270" spans="1:15" ht="12.45">
      <c r="A270" s="1"/>
      <c r="B270" s="1"/>
      <c r="C270" s="1"/>
      <c r="D270" s="1"/>
      <c r="E270" s="1"/>
      <c r="F270" s="1"/>
      <c r="G270" s="1"/>
      <c r="H270" s="1"/>
      <c r="I270" s="1"/>
      <c r="L270" s="22"/>
      <c r="M270" s="22"/>
      <c r="N270" s="22"/>
      <c r="O270" s="22"/>
    </row>
    <row r="271" spans="1:15" ht="12.45">
      <c r="A271" s="1"/>
      <c r="B271" s="1"/>
      <c r="C271" s="1"/>
      <c r="D271" s="1"/>
      <c r="E271" s="1"/>
      <c r="F271" s="1"/>
      <c r="G271" s="1"/>
      <c r="H271" s="1"/>
      <c r="I271" s="1"/>
      <c r="L271" s="22"/>
      <c r="M271" s="22"/>
      <c r="N271" s="22"/>
      <c r="O271" s="22"/>
    </row>
    <row r="272" spans="1:15" ht="12.45">
      <c r="A272" s="1"/>
      <c r="B272" s="1"/>
      <c r="C272" s="1"/>
      <c r="D272" s="1"/>
      <c r="E272" s="1"/>
      <c r="F272" s="1"/>
      <c r="G272" s="1"/>
      <c r="H272" s="1"/>
      <c r="I272" s="1"/>
      <c r="L272" s="22"/>
      <c r="M272" s="22"/>
      <c r="N272" s="22"/>
      <c r="O272" s="22"/>
    </row>
    <row r="273" spans="1:15" ht="12.45">
      <c r="A273" s="1"/>
      <c r="B273" s="1"/>
      <c r="C273" s="1"/>
      <c r="D273" s="1"/>
      <c r="E273" s="1"/>
      <c r="F273" s="1"/>
      <c r="G273" s="1"/>
      <c r="H273" s="1"/>
      <c r="I273" s="1"/>
      <c r="L273" s="22"/>
      <c r="M273" s="22"/>
      <c r="N273" s="22"/>
      <c r="O273" s="22"/>
    </row>
    <row r="274" spans="1:15" ht="12.45">
      <c r="A274" s="1"/>
      <c r="B274" s="1"/>
      <c r="C274" s="1"/>
      <c r="D274" s="1"/>
      <c r="E274" s="1"/>
      <c r="F274" s="1"/>
      <c r="G274" s="1"/>
      <c r="H274" s="1"/>
      <c r="I274" s="1"/>
      <c r="L274" s="22"/>
      <c r="M274" s="22"/>
      <c r="N274" s="22"/>
      <c r="O274" s="22"/>
    </row>
    <row r="275" spans="1:15" ht="12.45">
      <c r="A275" s="1"/>
      <c r="B275" s="1"/>
      <c r="C275" s="1"/>
      <c r="D275" s="1"/>
      <c r="E275" s="1"/>
      <c r="F275" s="1"/>
      <c r="G275" s="1"/>
      <c r="H275" s="1"/>
      <c r="I275" s="1"/>
      <c r="L275" s="22"/>
      <c r="M275" s="22"/>
      <c r="N275" s="22"/>
      <c r="O275" s="22"/>
    </row>
    <row r="276" spans="1:15" ht="12.45">
      <c r="A276" s="1"/>
      <c r="B276" s="1"/>
      <c r="C276" s="1"/>
      <c r="D276" s="1"/>
      <c r="E276" s="1"/>
      <c r="F276" s="1"/>
      <c r="G276" s="1"/>
      <c r="H276" s="1"/>
      <c r="I276" s="1"/>
      <c r="L276" s="22"/>
      <c r="M276" s="22"/>
      <c r="N276" s="22"/>
      <c r="O276" s="22"/>
    </row>
    <row r="277" spans="1:15" ht="12.45">
      <c r="A277" s="1"/>
      <c r="B277" s="1"/>
      <c r="C277" s="1"/>
      <c r="D277" s="1"/>
      <c r="E277" s="1"/>
      <c r="F277" s="1"/>
      <c r="G277" s="1"/>
      <c r="H277" s="1"/>
      <c r="I277" s="1"/>
      <c r="L277" s="22"/>
      <c r="M277" s="22"/>
      <c r="N277" s="22"/>
      <c r="O277" s="22"/>
    </row>
    <row r="278" spans="1:15" ht="12.45">
      <c r="A278" s="1"/>
      <c r="B278" s="1"/>
      <c r="C278" s="1"/>
      <c r="D278" s="1"/>
      <c r="E278" s="1"/>
      <c r="F278" s="1"/>
      <c r="G278" s="1"/>
      <c r="H278" s="1"/>
      <c r="I278" s="1"/>
      <c r="L278" s="22"/>
      <c r="M278" s="22"/>
      <c r="N278" s="22"/>
      <c r="O278" s="22"/>
    </row>
    <row r="279" spans="1:15" ht="12.45">
      <c r="A279" s="1"/>
      <c r="B279" s="1"/>
      <c r="C279" s="1"/>
      <c r="D279" s="1"/>
      <c r="E279" s="1"/>
      <c r="F279" s="1"/>
      <c r="G279" s="1"/>
      <c r="H279" s="1"/>
      <c r="I279" s="1"/>
      <c r="L279" s="22"/>
      <c r="M279" s="22"/>
      <c r="N279" s="22"/>
      <c r="O279" s="22"/>
    </row>
    <row r="280" spans="1:15" ht="12.45">
      <c r="A280" s="1"/>
      <c r="B280" s="1"/>
      <c r="C280" s="1"/>
      <c r="D280" s="1"/>
      <c r="E280" s="1"/>
      <c r="F280" s="1"/>
      <c r="G280" s="1"/>
      <c r="H280" s="1"/>
      <c r="I280" s="1"/>
      <c r="L280" s="22"/>
      <c r="M280" s="22"/>
      <c r="N280" s="22"/>
      <c r="O280" s="22"/>
    </row>
    <row r="281" spans="1:15" ht="12.45">
      <c r="A281" s="1"/>
      <c r="B281" s="1"/>
      <c r="C281" s="1"/>
      <c r="D281" s="1"/>
      <c r="E281" s="1"/>
      <c r="F281" s="1"/>
      <c r="G281" s="1"/>
      <c r="H281" s="1"/>
      <c r="I281" s="1"/>
      <c r="L281" s="22"/>
      <c r="M281" s="22"/>
      <c r="N281" s="22"/>
      <c r="O281" s="22"/>
    </row>
    <row r="282" spans="1:15" ht="12.45">
      <c r="A282" s="1"/>
      <c r="B282" s="1"/>
      <c r="C282" s="1"/>
      <c r="D282" s="1"/>
      <c r="E282" s="1"/>
      <c r="F282" s="1"/>
      <c r="G282" s="1"/>
      <c r="H282" s="1"/>
      <c r="I282" s="1"/>
      <c r="L282" s="22"/>
      <c r="M282" s="22"/>
      <c r="N282" s="22"/>
      <c r="O282" s="22"/>
    </row>
    <row r="283" spans="1:15" ht="12.45">
      <c r="A283" s="1"/>
      <c r="B283" s="1"/>
      <c r="C283" s="1"/>
      <c r="D283" s="1"/>
      <c r="E283" s="1"/>
      <c r="F283" s="1"/>
      <c r="G283" s="1"/>
      <c r="H283" s="1"/>
      <c r="I283" s="1"/>
      <c r="L283" s="22"/>
      <c r="M283" s="22"/>
      <c r="N283" s="22"/>
      <c r="O283" s="22"/>
    </row>
    <row r="284" spans="1:15" ht="12.45">
      <c r="A284" s="1"/>
      <c r="B284" s="1"/>
      <c r="C284" s="1"/>
      <c r="D284" s="1"/>
      <c r="E284" s="1"/>
      <c r="F284" s="1"/>
      <c r="G284" s="1"/>
      <c r="H284" s="1"/>
      <c r="I284" s="1"/>
      <c r="L284" s="22"/>
      <c r="M284" s="22"/>
      <c r="N284" s="22"/>
      <c r="O284" s="22"/>
    </row>
    <row r="285" spans="1:15" ht="12.45">
      <c r="A285" s="1"/>
      <c r="B285" s="1"/>
      <c r="C285" s="1"/>
      <c r="D285" s="1"/>
      <c r="E285" s="1"/>
      <c r="F285" s="1"/>
      <c r="G285" s="1"/>
      <c r="H285" s="1"/>
      <c r="I285" s="1"/>
      <c r="L285" s="22"/>
      <c r="M285" s="22"/>
      <c r="N285" s="22"/>
      <c r="O285" s="22"/>
    </row>
    <row r="286" spans="1:15" ht="12.45">
      <c r="A286" s="1"/>
      <c r="B286" s="1"/>
      <c r="C286" s="1"/>
      <c r="D286" s="1"/>
      <c r="E286" s="1"/>
      <c r="F286" s="1"/>
      <c r="G286" s="1"/>
      <c r="H286" s="1"/>
      <c r="I286" s="1"/>
      <c r="L286" s="22"/>
      <c r="M286" s="22"/>
      <c r="N286" s="22"/>
      <c r="O286" s="22"/>
    </row>
    <row r="287" spans="1:15" ht="12.45">
      <c r="A287" s="1"/>
      <c r="B287" s="1"/>
      <c r="C287" s="1"/>
      <c r="D287" s="1"/>
      <c r="E287" s="1"/>
      <c r="F287" s="1"/>
      <c r="G287" s="1"/>
      <c r="H287" s="1"/>
      <c r="I287" s="1"/>
      <c r="L287" s="22"/>
      <c r="M287" s="22"/>
      <c r="N287" s="22"/>
      <c r="O287" s="22"/>
    </row>
    <row r="288" spans="1:15" ht="12.45">
      <c r="A288" s="1"/>
      <c r="B288" s="1"/>
      <c r="C288" s="1"/>
      <c r="D288" s="1"/>
      <c r="E288" s="1"/>
      <c r="F288" s="1"/>
      <c r="G288" s="1"/>
      <c r="H288" s="1"/>
      <c r="I288" s="1"/>
      <c r="L288" s="22"/>
      <c r="M288" s="22"/>
      <c r="N288" s="22"/>
      <c r="O288" s="22"/>
    </row>
    <row r="289" spans="1:15" ht="12.45">
      <c r="A289" s="1"/>
      <c r="B289" s="1"/>
      <c r="C289" s="1"/>
      <c r="D289" s="1"/>
      <c r="E289" s="1"/>
      <c r="F289" s="1"/>
      <c r="G289" s="1"/>
      <c r="H289" s="1"/>
      <c r="I289" s="1"/>
      <c r="L289" s="22"/>
      <c r="M289" s="22"/>
      <c r="N289" s="22"/>
      <c r="O289" s="22"/>
    </row>
    <row r="290" spans="1:15" ht="12.45">
      <c r="A290" s="1"/>
      <c r="B290" s="1"/>
      <c r="C290" s="1"/>
      <c r="D290" s="1"/>
      <c r="E290" s="1"/>
      <c r="F290" s="1"/>
      <c r="G290" s="1"/>
      <c r="H290" s="1"/>
      <c r="I290" s="1"/>
      <c r="L290" s="22"/>
      <c r="M290" s="22"/>
      <c r="N290" s="22"/>
      <c r="O290" s="22"/>
    </row>
    <row r="291" spans="1:15" ht="12.45">
      <c r="A291" s="1"/>
      <c r="B291" s="1"/>
      <c r="C291" s="1"/>
      <c r="D291" s="1"/>
      <c r="E291" s="1"/>
      <c r="F291" s="1"/>
      <c r="G291" s="1"/>
      <c r="H291" s="1"/>
      <c r="I291" s="1"/>
      <c r="L291" s="22"/>
      <c r="M291" s="22"/>
      <c r="N291" s="22"/>
      <c r="O291" s="22"/>
    </row>
    <row r="292" spans="1:15" ht="12.45">
      <c r="A292" s="1"/>
      <c r="B292" s="1"/>
      <c r="C292" s="1"/>
      <c r="D292" s="1"/>
      <c r="E292" s="1"/>
      <c r="F292" s="1"/>
      <c r="G292" s="1"/>
      <c r="H292" s="1"/>
      <c r="I292" s="1"/>
      <c r="L292" s="22"/>
      <c r="M292" s="22"/>
      <c r="N292" s="22"/>
      <c r="O292" s="22"/>
    </row>
    <row r="293" spans="1:15" ht="12.45">
      <c r="A293" s="1"/>
      <c r="B293" s="1"/>
      <c r="C293" s="1"/>
      <c r="D293" s="1"/>
      <c r="E293" s="1"/>
      <c r="F293" s="1"/>
      <c r="G293" s="1"/>
      <c r="H293" s="1"/>
      <c r="I293" s="1"/>
      <c r="L293" s="22"/>
      <c r="M293" s="22"/>
      <c r="N293" s="22"/>
      <c r="O293" s="22"/>
    </row>
    <row r="294" spans="1:15" ht="12.45">
      <c r="A294" s="1"/>
      <c r="B294" s="1"/>
      <c r="C294" s="1"/>
      <c r="D294" s="1"/>
      <c r="E294" s="1"/>
      <c r="F294" s="1"/>
      <c r="G294" s="1"/>
      <c r="H294" s="1"/>
      <c r="I294" s="1"/>
      <c r="L294" s="22"/>
      <c r="M294" s="22"/>
      <c r="N294" s="22"/>
      <c r="O294" s="22"/>
    </row>
    <row r="295" spans="1:15" ht="12.45">
      <c r="A295" s="1"/>
      <c r="B295" s="1"/>
      <c r="C295" s="1"/>
      <c r="D295" s="1"/>
      <c r="E295" s="1"/>
      <c r="F295" s="1"/>
      <c r="G295" s="1"/>
      <c r="H295" s="1"/>
      <c r="I295" s="1"/>
      <c r="L295" s="22"/>
      <c r="M295" s="22"/>
      <c r="N295" s="22"/>
      <c r="O295" s="22"/>
    </row>
    <row r="296" spans="1:15" ht="12.45">
      <c r="A296" s="1"/>
      <c r="B296" s="1"/>
      <c r="C296" s="1"/>
      <c r="D296" s="1"/>
      <c r="E296" s="1"/>
      <c r="F296" s="1"/>
      <c r="G296" s="1"/>
      <c r="H296" s="1"/>
      <c r="I296" s="1"/>
      <c r="L296" s="22"/>
      <c r="M296" s="22"/>
      <c r="N296" s="22"/>
      <c r="O296" s="22"/>
    </row>
    <row r="297" spans="1:15" ht="12.45">
      <c r="A297" s="1"/>
      <c r="B297" s="1"/>
      <c r="C297" s="1"/>
      <c r="D297" s="1"/>
      <c r="E297" s="1"/>
      <c r="F297" s="1"/>
      <c r="G297" s="1"/>
      <c r="H297" s="1"/>
      <c r="I297" s="1"/>
      <c r="L297" s="22"/>
      <c r="M297" s="22"/>
      <c r="N297" s="22"/>
      <c r="O297" s="22"/>
    </row>
    <row r="298" spans="1:15" ht="12.45">
      <c r="A298" s="1"/>
      <c r="B298" s="1"/>
      <c r="C298" s="1"/>
      <c r="D298" s="1"/>
      <c r="E298" s="1"/>
      <c r="F298" s="1"/>
      <c r="G298" s="1"/>
      <c r="H298" s="1"/>
      <c r="I298" s="1"/>
      <c r="L298" s="22"/>
      <c r="M298" s="22"/>
      <c r="N298" s="22"/>
      <c r="O298" s="22"/>
    </row>
    <row r="299" spans="1:15" ht="12.45">
      <c r="A299" s="1"/>
      <c r="B299" s="1"/>
      <c r="C299" s="1"/>
      <c r="D299" s="1"/>
      <c r="E299" s="1"/>
      <c r="F299" s="1"/>
      <c r="G299" s="1"/>
      <c r="H299" s="1"/>
      <c r="I299" s="1"/>
      <c r="L299" s="22"/>
      <c r="M299" s="22"/>
      <c r="N299" s="22"/>
      <c r="O299" s="22"/>
    </row>
    <row r="300" spans="1:15" ht="12.45">
      <c r="A300" s="1"/>
      <c r="B300" s="1"/>
      <c r="C300" s="1"/>
      <c r="D300" s="1"/>
      <c r="E300" s="1"/>
      <c r="F300" s="1"/>
      <c r="G300" s="1"/>
      <c r="H300" s="1"/>
      <c r="I300" s="1"/>
      <c r="L300" s="22"/>
      <c r="M300" s="22"/>
      <c r="N300" s="22"/>
      <c r="O300" s="22"/>
    </row>
    <row r="301" spans="1:15" ht="12.45">
      <c r="A301" s="1"/>
      <c r="B301" s="1"/>
      <c r="C301" s="1"/>
      <c r="D301" s="1"/>
      <c r="E301" s="1"/>
      <c r="F301" s="1"/>
      <c r="G301" s="1"/>
      <c r="H301" s="1"/>
      <c r="I301" s="1"/>
      <c r="L301" s="22"/>
      <c r="M301" s="22"/>
      <c r="N301" s="22"/>
      <c r="O301" s="22"/>
    </row>
    <row r="302" spans="1:15" ht="12.45">
      <c r="A302" s="1"/>
      <c r="B302" s="1"/>
      <c r="C302" s="1"/>
      <c r="D302" s="1"/>
      <c r="E302" s="1"/>
      <c r="F302" s="1"/>
      <c r="G302" s="1"/>
      <c r="H302" s="1"/>
      <c r="I302" s="1"/>
      <c r="L302" s="22"/>
      <c r="M302" s="22"/>
      <c r="N302" s="22"/>
      <c r="O302" s="22"/>
    </row>
    <row r="303" spans="1:15" ht="12.45">
      <c r="A303" s="1"/>
      <c r="B303" s="1"/>
      <c r="C303" s="1"/>
      <c r="D303" s="1"/>
      <c r="E303" s="1"/>
      <c r="F303" s="1"/>
      <c r="G303" s="1"/>
      <c r="H303" s="1"/>
      <c r="I303" s="1"/>
      <c r="L303" s="22"/>
      <c r="M303" s="22"/>
      <c r="N303" s="22"/>
      <c r="O303" s="22"/>
    </row>
    <row r="304" spans="1:15" ht="12.45">
      <c r="A304" s="1"/>
      <c r="B304" s="1"/>
      <c r="C304" s="1"/>
      <c r="D304" s="1"/>
      <c r="E304" s="1"/>
      <c r="F304" s="1"/>
      <c r="G304" s="1"/>
      <c r="H304" s="1"/>
      <c r="I304" s="1"/>
      <c r="L304" s="22"/>
      <c r="M304" s="22"/>
      <c r="N304" s="22"/>
      <c r="O304" s="22"/>
    </row>
    <row r="305" spans="1:15" ht="12.45">
      <c r="A305" s="1"/>
      <c r="B305" s="1"/>
      <c r="C305" s="1"/>
      <c r="D305" s="1"/>
      <c r="E305" s="1"/>
      <c r="F305" s="1"/>
      <c r="G305" s="1"/>
      <c r="H305" s="1"/>
      <c r="I305" s="1"/>
      <c r="L305" s="22"/>
      <c r="M305" s="22"/>
      <c r="N305" s="22"/>
      <c r="O305" s="22"/>
    </row>
    <row r="306" spans="1:15" ht="12.45">
      <c r="A306" s="1"/>
      <c r="B306" s="1"/>
      <c r="C306" s="1"/>
      <c r="D306" s="1"/>
      <c r="E306" s="1"/>
      <c r="F306" s="1"/>
      <c r="G306" s="1"/>
      <c r="H306" s="1"/>
      <c r="I306" s="1"/>
      <c r="L306" s="22"/>
      <c r="M306" s="22"/>
      <c r="N306" s="22"/>
      <c r="O306" s="22"/>
    </row>
    <row r="307" spans="1:15" ht="12.45">
      <c r="A307" s="1"/>
      <c r="B307" s="1"/>
      <c r="C307" s="1"/>
      <c r="D307" s="1"/>
      <c r="E307" s="1"/>
      <c r="F307" s="1"/>
      <c r="G307" s="1"/>
      <c r="H307" s="1"/>
      <c r="I307" s="1"/>
      <c r="L307" s="22"/>
      <c r="M307" s="22"/>
      <c r="N307" s="22"/>
      <c r="O307" s="22"/>
    </row>
    <row r="308" spans="1:15" ht="12.45">
      <c r="A308" s="1"/>
      <c r="B308" s="1"/>
      <c r="C308" s="1"/>
      <c r="D308" s="1"/>
      <c r="E308" s="1"/>
      <c r="F308" s="1"/>
      <c r="G308" s="1"/>
      <c r="H308" s="1"/>
      <c r="I308" s="1"/>
      <c r="L308" s="22"/>
      <c r="M308" s="22"/>
      <c r="N308" s="22"/>
      <c r="O308" s="22"/>
    </row>
    <row r="309" spans="1:15" ht="12.45">
      <c r="A309" s="1"/>
      <c r="B309" s="1"/>
      <c r="C309" s="1"/>
      <c r="D309" s="1"/>
      <c r="E309" s="1"/>
      <c r="F309" s="1"/>
      <c r="G309" s="1"/>
      <c r="H309" s="1"/>
      <c r="I309" s="1"/>
      <c r="L309" s="22"/>
      <c r="M309" s="22"/>
      <c r="N309" s="22"/>
      <c r="O309" s="22"/>
    </row>
    <row r="310" spans="1:15" ht="12.45">
      <c r="A310" s="1"/>
      <c r="B310" s="1"/>
      <c r="C310" s="1"/>
      <c r="D310" s="1"/>
      <c r="E310" s="1"/>
      <c r="F310" s="1"/>
      <c r="G310" s="1"/>
      <c r="H310" s="1"/>
      <c r="I310" s="1"/>
      <c r="L310" s="22"/>
      <c r="M310" s="22"/>
      <c r="N310" s="22"/>
      <c r="O310" s="22"/>
    </row>
    <row r="311" spans="1:15" ht="12.45">
      <c r="A311" s="1"/>
      <c r="B311" s="1"/>
      <c r="C311" s="1"/>
      <c r="D311" s="1"/>
      <c r="E311" s="1"/>
      <c r="F311" s="1"/>
      <c r="G311" s="1"/>
      <c r="H311" s="1"/>
      <c r="I311" s="1"/>
      <c r="L311" s="22"/>
      <c r="M311" s="22"/>
      <c r="N311" s="22"/>
      <c r="O311" s="22"/>
    </row>
    <row r="312" spans="1:15" ht="12.45">
      <c r="A312" s="1"/>
      <c r="B312" s="1"/>
      <c r="C312" s="1"/>
      <c r="D312" s="1"/>
      <c r="E312" s="1"/>
      <c r="F312" s="1"/>
      <c r="G312" s="1"/>
      <c r="H312" s="1"/>
      <c r="I312" s="1"/>
      <c r="L312" s="22"/>
      <c r="M312" s="22"/>
      <c r="N312" s="22"/>
      <c r="O312" s="22"/>
    </row>
    <row r="313" spans="1:15" ht="12.45">
      <c r="A313" s="1"/>
      <c r="B313" s="1"/>
      <c r="C313" s="1"/>
      <c r="D313" s="1"/>
      <c r="E313" s="1"/>
      <c r="F313" s="1"/>
      <c r="G313" s="1"/>
      <c r="H313" s="1"/>
      <c r="I313" s="1"/>
      <c r="L313" s="22"/>
      <c r="M313" s="22"/>
      <c r="N313" s="22"/>
      <c r="O313" s="22"/>
    </row>
    <row r="314" spans="1:15" ht="12.45">
      <c r="A314" s="1"/>
      <c r="B314" s="1"/>
      <c r="C314" s="1"/>
      <c r="D314" s="1"/>
      <c r="E314" s="1"/>
      <c r="F314" s="1"/>
      <c r="G314" s="1"/>
      <c r="H314" s="1"/>
      <c r="I314" s="1"/>
      <c r="L314" s="22"/>
      <c r="M314" s="22"/>
      <c r="N314" s="22"/>
      <c r="O314" s="22"/>
    </row>
    <row r="315" spans="1:15" ht="12.45">
      <c r="A315" s="1"/>
      <c r="B315" s="1"/>
      <c r="C315" s="1"/>
      <c r="D315" s="1"/>
      <c r="E315" s="1"/>
      <c r="F315" s="1"/>
      <c r="G315" s="1"/>
      <c r="H315" s="1"/>
      <c r="I315" s="1"/>
      <c r="L315" s="22"/>
      <c r="M315" s="22"/>
      <c r="N315" s="22"/>
      <c r="O315" s="22"/>
    </row>
    <row r="316" spans="1:15" ht="12.45">
      <c r="A316" s="1"/>
      <c r="B316" s="1"/>
      <c r="C316" s="1"/>
      <c r="D316" s="1"/>
      <c r="E316" s="1"/>
      <c r="F316" s="1"/>
      <c r="G316" s="1"/>
      <c r="H316" s="1"/>
      <c r="I316" s="1"/>
      <c r="L316" s="22"/>
      <c r="M316" s="22"/>
      <c r="N316" s="22"/>
      <c r="O316" s="22"/>
    </row>
    <row r="317" spans="1:15" ht="12.45">
      <c r="A317" s="1"/>
      <c r="B317" s="1"/>
      <c r="C317" s="1"/>
      <c r="D317" s="1"/>
      <c r="E317" s="1"/>
      <c r="F317" s="1"/>
      <c r="G317" s="1"/>
      <c r="H317" s="1"/>
      <c r="I317" s="1"/>
      <c r="L317" s="22"/>
      <c r="M317" s="22"/>
      <c r="N317" s="22"/>
      <c r="O317" s="22"/>
    </row>
    <row r="318" spans="1:15" ht="12.45">
      <c r="A318" s="1"/>
      <c r="B318" s="1"/>
      <c r="C318" s="1"/>
      <c r="D318" s="1"/>
      <c r="E318" s="1"/>
      <c r="F318" s="1"/>
      <c r="G318" s="1"/>
      <c r="H318" s="1"/>
      <c r="I318" s="1"/>
      <c r="L318" s="22"/>
      <c r="M318" s="22"/>
      <c r="N318" s="22"/>
      <c r="O318" s="22"/>
    </row>
    <row r="319" spans="1:15" ht="12.45">
      <c r="A319" s="1"/>
      <c r="B319" s="1"/>
      <c r="C319" s="1"/>
      <c r="D319" s="1"/>
      <c r="E319" s="1"/>
      <c r="F319" s="1"/>
      <c r="G319" s="1"/>
      <c r="H319" s="1"/>
      <c r="I319" s="1"/>
      <c r="L319" s="22"/>
      <c r="M319" s="22"/>
      <c r="N319" s="22"/>
      <c r="O319" s="22"/>
    </row>
    <row r="320" spans="1:15" ht="12.45">
      <c r="A320" s="1"/>
      <c r="B320" s="1"/>
      <c r="C320" s="1"/>
      <c r="D320" s="1"/>
      <c r="E320" s="1"/>
      <c r="F320" s="1"/>
      <c r="G320" s="1"/>
      <c r="H320" s="1"/>
      <c r="I320" s="1"/>
      <c r="L320" s="22"/>
      <c r="M320" s="22"/>
      <c r="N320" s="22"/>
      <c r="O320" s="22"/>
    </row>
    <row r="321" spans="1:15" ht="12.45">
      <c r="A321" s="1"/>
      <c r="B321" s="1"/>
      <c r="C321" s="1"/>
      <c r="D321" s="1"/>
      <c r="E321" s="1"/>
      <c r="F321" s="1"/>
      <c r="G321" s="1"/>
      <c r="H321" s="1"/>
      <c r="I321" s="1"/>
      <c r="L321" s="22"/>
      <c r="M321" s="22"/>
      <c r="N321" s="22"/>
      <c r="O321" s="22"/>
    </row>
    <row r="322" spans="1:15" ht="12.45">
      <c r="A322" s="1"/>
      <c r="B322" s="1"/>
      <c r="C322" s="1"/>
      <c r="D322" s="1"/>
      <c r="E322" s="1"/>
      <c r="F322" s="1"/>
      <c r="G322" s="1"/>
      <c r="H322" s="1"/>
      <c r="I322" s="1"/>
      <c r="L322" s="22"/>
      <c r="M322" s="22"/>
      <c r="N322" s="22"/>
      <c r="O322" s="22"/>
    </row>
    <row r="323" spans="1:15" ht="12.45">
      <c r="A323" s="1"/>
      <c r="B323" s="1"/>
      <c r="C323" s="1"/>
      <c r="D323" s="1"/>
      <c r="E323" s="1"/>
      <c r="F323" s="1"/>
      <c r="G323" s="1"/>
      <c r="H323" s="1"/>
      <c r="I323" s="1"/>
      <c r="L323" s="22"/>
      <c r="M323" s="22"/>
      <c r="N323" s="22"/>
      <c r="O323" s="22"/>
    </row>
    <row r="324" spans="1:15" ht="12.45">
      <c r="A324" s="1"/>
      <c r="B324" s="1"/>
      <c r="C324" s="1"/>
      <c r="D324" s="1"/>
      <c r="E324" s="1"/>
      <c r="F324" s="1"/>
      <c r="G324" s="1"/>
      <c r="H324" s="1"/>
      <c r="I324" s="1"/>
      <c r="L324" s="22"/>
      <c r="M324" s="22"/>
      <c r="N324" s="22"/>
      <c r="O324" s="22"/>
    </row>
    <row r="325" spans="1:15" ht="12.45">
      <c r="A325" s="1"/>
      <c r="B325" s="1"/>
      <c r="C325" s="1"/>
      <c r="D325" s="1"/>
      <c r="E325" s="1"/>
      <c r="F325" s="1"/>
      <c r="G325" s="1"/>
      <c r="H325" s="1"/>
      <c r="I325" s="1"/>
      <c r="L325" s="22"/>
      <c r="M325" s="22"/>
      <c r="N325" s="22"/>
      <c r="O325" s="22"/>
    </row>
    <row r="326" spans="1:15" ht="12.45">
      <c r="A326" s="1"/>
      <c r="B326" s="1"/>
      <c r="C326" s="1"/>
      <c r="D326" s="1"/>
      <c r="E326" s="1"/>
      <c r="F326" s="1"/>
      <c r="G326" s="1"/>
      <c r="H326" s="1"/>
      <c r="I326" s="1"/>
      <c r="L326" s="22"/>
      <c r="M326" s="22"/>
      <c r="N326" s="22"/>
      <c r="O326" s="22"/>
    </row>
    <row r="327" spans="1:15" ht="12.45">
      <c r="A327" s="1"/>
      <c r="B327" s="1"/>
      <c r="C327" s="1"/>
      <c r="D327" s="1"/>
      <c r="E327" s="1"/>
      <c r="F327" s="1"/>
      <c r="G327" s="1"/>
      <c r="H327" s="1"/>
      <c r="I327" s="1"/>
      <c r="L327" s="22"/>
      <c r="M327" s="22"/>
      <c r="N327" s="22"/>
      <c r="O327" s="22"/>
    </row>
    <row r="328" spans="1:15" ht="12.45">
      <c r="A328" s="1"/>
      <c r="B328" s="1"/>
      <c r="C328" s="1"/>
      <c r="D328" s="1"/>
      <c r="E328" s="1"/>
      <c r="F328" s="1"/>
      <c r="G328" s="1"/>
      <c r="H328" s="1"/>
      <c r="I328" s="1"/>
      <c r="L328" s="22"/>
      <c r="M328" s="22"/>
      <c r="N328" s="22"/>
      <c r="O328" s="22"/>
    </row>
    <row r="329" spans="1:15" ht="12.45">
      <c r="A329" s="1"/>
      <c r="B329" s="1"/>
      <c r="C329" s="1"/>
      <c r="D329" s="1"/>
      <c r="E329" s="1"/>
      <c r="F329" s="1"/>
      <c r="G329" s="1"/>
      <c r="H329" s="1"/>
      <c r="I329" s="1"/>
      <c r="L329" s="22"/>
      <c r="M329" s="22"/>
      <c r="N329" s="22"/>
      <c r="O329" s="22"/>
    </row>
    <row r="330" spans="1:15" ht="12.45">
      <c r="A330" s="1"/>
      <c r="B330" s="1"/>
      <c r="C330" s="1"/>
      <c r="D330" s="1"/>
      <c r="E330" s="1"/>
      <c r="F330" s="1"/>
      <c r="G330" s="1"/>
      <c r="H330" s="1"/>
      <c r="I330" s="1"/>
      <c r="L330" s="22"/>
      <c r="M330" s="22"/>
      <c r="N330" s="22"/>
      <c r="O330" s="22"/>
    </row>
    <row r="331" spans="1:15" ht="12.45">
      <c r="A331" s="1"/>
      <c r="B331" s="1"/>
      <c r="C331" s="1"/>
      <c r="D331" s="1"/>
      <c r="E331" s="1"/>
      <c r="F331" s="1"/>
      <c r="G331" s="1"/>
      <c r="H331" s="1"/>
      <c r="I331" s="1"/>
      <c r="L331" s="22"/>
      <c r="M331" s="22"/>
      <c r="N331" s="22"/>
      <c r="O331" s="22"/>
    </row>
    <row r="332" spans="1:15" ht="12.45">
      <c r="A332" s="1"/>
      <c r="B332" s="1"/>
      <c r="C332" s="1"/>
      <c r="D332" s="1"/>
      <c r="E332" s="1"/>
      <c r="F332" s="1"/>
      <c r="G332" s="1"/>
      <c r="H332" s="1"/>
      <c r="I332" s="1"/>
      <c r="L332" s="22"/>
      <c r="M332" s="22"/>
      <c r="N332" s="22"/>
      <c r="O332" s="22"/>
    </row>
    <row r="333" spans="1:15" ht="12.45">
      <c r="A333" s="1"/>
      <c r="B333" s="1"/>
      <c r="C333" s="1"/>
      <c r="D333" s="1"/>
      <c r="E333" s="1"/>
      <c r="F333" s="1"/>
      <c r="G333" s="1"/>
      <c r="H333" s="1"/>
      <c r="I333" s="1"/>
      <c r="L333" s="22"/>
      <c r="M333" s="22"/>
      <c r="N333" s="22"/>
      <c r="O333" s="22"/>
    </row>
    <row r="334" spans="1:15" ht="12.45">
      <c r="A334" s="1"/>
      <c r="B334" s="1"/>
      <c r="C334" s="1"/>
      <c r="D334" s="1"/>
      <c r="E334" s="1"/>
      <c r="F334" s="1"/>
      <c r="G334" s="1"/>
      <c r="H334" s="1"/>
      <c r="I334" s="1"/>
      <c r="L334" s="22"/>
      <c r="M334" s="22"/>
      <c r="N334" s="22"/>
      <c r="O334" s="22"/>
    </row>
    <row r="335" spans="1:15" ht="12.45">
      <c r="A335" s="1"/>
      <c r="B335" s="1"/>
      <c r="C335" s="1"/>
      <c r="D335" s="1"/>
      <c r="E335" s="1"/>
      <c r="F335" s="1"/>
      <c r="G335" s="1"/>
      <c r="H335" s="1"/>
      <c r="I335" s="1"/>
      <c r="L335" s="22"/>
      <c r="M335" s="22"/>
      <c r="N335" s="22"/>
      <c r="O335" s="22"/>
    </row>
    <row r="336" spans="1:15" ht="12.45">
      <c r="A336" s="1"/>
      <c r="B336" s="1"/>
      <c r="C336" s="1"/>
      <c r="D336" s="1"/>
      <c r="E336" s="1"/>
      <c r="F336" s="1"/>
      <c r="G336" s="1"/>
      <c r="H336" s="1"/>
      <c r="I336" s="1"/>
      <c r="L336" s="22"/>
      <c r="M336" s="22"/>
      <c r="N336" s="22"/>
      <c r="O336" s="22"/>
    </row>
    <row r="337" spans="1:15" ht="12.45">
      <c r="A337" s="1"/>
      <c r="B337" s="1"/>
      <c r="C337" s="1"/>
      <c r="D337" s="1"/>
      <c r="E337" s="1"/>
      <c r="F337" s="1"/>
      <c r="G337" s="1"/>
      <c r="H337" s="1"/>
      <c r="I337" s="1"/>
      <c r="L337" s="22"/>
      <c r="M337" s="22"/>
      <c r="N337" s="22"/>
      <c r="O337" s="22"/>
    </row>
    <row r="338" spans="1:15" ht="12.45">
      <c r="A338" s="1"/>
      <c r="B338" s="1"/>
      <c r="C338" s="1"/>
      <c r="D338" s="1"/>
      <c r="E338" s="1"/>
      <c r="F338" s="1"/>
      <c r="G338" s="1"/>
      <c r="H338" s="1"/>
      <c r="I338" s="1"/>
      <c r="L338" s="22"/>
      <c r="M338" s="22"/>
      <c r="N338" s="22"/>
      <c r="O338" s="22"/>
    </row>
    <row r="339" spans="1:15" ht="12.45">
      <c r="A339" s="1"/>
      <c r="B339" s="1"/>
      <c r="C339" s="1"/>
      <c r="D339" s="1"/>
      <c r="E339" s="1"/>
      <c r="F339" s="1"/>
      <c r="G339" s="1"/>
      <c r="H339" s="1"/>
      <c r="I339" s="1"/>
      <c r="L339" s="22"/>
      <c r="M339" s="22"/>
      <c r="N339" s="22"/>
      <c r="O339" s="22"/>
    </row>
    <row r="340" spans="1:15" ht="12.45">
      <c r="A340" s="1"/>
      <c r="B340" s="1"/>
      <c r="C340" s="1"/>
      <c r="D340" s="1"/>
      <c r="E340" s="1"/>
      <c r="F340" s="1"/>
      <c r="G340" s="1"/>
      <c r="H340" s="1"/>
      <c r="I340" s="1"/>
      <c r="L340" s="22"/>
      <c r="M340" s="22"/>
      <c r="N340" s="22"/>
      <c r="O340" s="22"/>
    </row>
    <row r="341" spans="1:15" ht="12.45">
      <c r="A341" s="1"/>
      <c r="B341" s="1"/>
      <c r="C341" s="1"/>
      <c r="D341" s="1"/>
      <c r="E341" s="1"/>
      <c r="F341" s="1"/>
      <c r="G341" s="1"/>
      <c r="H341" s="1"/>
      <c r="I341" s="1"/>
      <c r="L341" s="22"/>
      <c r="M341" s="22"/>
      <c r="N341" s="22"/>
      <c r="O341" s="22"/>
    </row>
    <row r="342" spans="1:15" ht="12.45">
      <c r="A342" s="1"/>
      <c r="B342" s="1"/>
      <c r="C342" s="1"/>
      <c r="D342" s="1"/>
      <c r="E342" s="1"/>
      <c r="F342" s="1"/>
      <c r="G342" s="1"/>
      <c r="H342" s="1"/>
      <c r="I342" s="1"/>
      <c r="L342" s="22"/>
      <c r="M342" s="22"/>
      <c r="N342" s="22"/>
      <c r="O342" s="22"/>
    </row>
    <row r="343" spans="1:15" ht="12.45">
      <c r="A343" s="1"/>
      <c r="B343" s="1"/>
      <c r="C343" s="1"/>
      <c r="D343" s="1"/>
      <c r="E343" s="1"/>
      <c r="F343" s="1"/>
      <c r="G343" s="1"/>
      <c r="H343" s="1"/>
      <c r="I343" s="1"/>
      <c r="L343" s="22"/>
      <c r="M343" s="22"/>
      <c r="N343" s="22"/>
      <c r="O343" s="22"/>
    </row>
    <row r="344" spans="1:15" ht="12.45">
      <c r="A344" s="1"/>
      <c r="B344" s="1"/>
      <c r="C344" s="1"/>
      <c r="D344" s="1"/>
      <c r="E344" s="1"/>
      <c r="F344" s="1"/>
      <c r="G344" s="1"/>
      <c r="H344" s="1"/>
      <c r="I344" s="1"/>
      <c r="L344" s="22"/>
      <c r="M344" s="22"/>
      <c r="N344" s="22"/>
      <c r="O344" s="22"/>
    </row>
    <row r="345" spans="1:15" ht="12.45">
      <c r="A345" s="1"/>
      <c r="B345" s="1"/>
      <c r="C345" s="1"/>
      <c r="D345" s="1"/>
      <c r="E345" s="1"/>
      <c r="F345" s="1"/>
      <c r="G345" s="1"/>
      <c r="H345" s="1"/>
      <c r="I345" s="1"/>
      <c r="L345" s="22"/>
      <c r="M345" s="22"/>
      <c r="N345" s="22"/>
      <c r="O345" s="22"/>
    </row>
    <row r="346" spans="1:15" ht="12.45">
      <c r="A346" s="1"/>
      <c r="B346" s="1"/>
      <c r="C346" s="1"/>
      <c r="D346" s="1"/>
      <c r="E346" s="1"/>
      <c r="F346" s="1"/>
      <c r="G346" s="1"/>
      <c r="H346" s="1"/>
      <c r="I346" s="1"/>
      <c r="L346" s="22"/>
      <c r="M346" s="22"/>
      <c r="N346" s="22"/>
      <c r="O346" s="22"/>
    </row>
    <row r="347" spans="1:15" ht="12.45">
      <c r="A347" s="1"/>
      <c r="B347" s="1"/>
      <c r="C347" s="1"/>
      <c r="D347" s="1"/>
      <c r="E347" s="1"/>
      <c r="F347" s="1"/>
      <c r="G347" s="1"/>
      <c r="H347" s="1"/>
      <c r="I347" s="1"/>
      <c r="L347" s="22"/>
      <c r="M347" s="22"/>
      <c r="N347" s="22"/>
      <c r="O347" s="22"/>
    </row>
    <row r="348" spans="1:15" ht="12.45">
      <c r="A348" s="1"/>
      <c r="B348" s="1"/>
      <c r="C348" s="1"/>
      <c r="D348" s="1"/>
      <c r="E348" s="1"/>
      <c r="F348" s="1"/>
      <c r="G348" s="1"/>
      <c r="H348" s="1"/>
      <c r="I348" s="1"/>
      <c r="L348" s="22"/>
      <c r="M348" s="22"/>
      <c r="N348" s="22"/>
      <c r="O348" s="22"/>
    </row>
    <row r="349" spans="1:15" ht="12.45">
      <c r="A349" s="1"/>
      <c r="B349" s="1"/>
      <c r="C349" s="1"/>
      <c r="D349" s="1"/>
      <c r="E349" s="1"/>
      <c r="F349" s="1"/>
      <c r="G349" s="1"/>
      <c r="H349" s="1"/>
      <c r="I349" s="1"/>
      <c r="L349" s="22"/>
      <c r="M349" s="22"/>
      <c r="N349" s="22"/>
      <c r="O349" s="22"/>
    </row>
    <row r="350" spans="1:15" ht="12.45">
      <c r="A350" s="1"/>
      <c r="B350" s="1"/>
      <c r="C350" s="1"/>
      <c r="D350" s="1"/>
      <c r="E350" s="1"/>
      <c r="F350" s="1"/>
      <c r="G350" s="1"/>
      <c r="H350" s="1"/>
      <c r="I350" s="1"/>
      <c r="L350" s="22"/>
      <c r="M350" s="22"/>
      <c r="N350" s="22"/>
      <c r="O350" s="22"/>
    </row>
    <row r="351" spans="1:15" ht="12.45">
      <c r="A351" s="1"/>
      <c r="B351" s="1"/>
      <c r="C351" s="1"/>
      <c r="D351" s="1"/>
      <c r="E351" s="1"/>
      <c r="F351" s="1"/>
      <c r="G351" s="1"/>
      <c r="H351" s="1"/>
      <c r="I351" s="1"/>
      <c r="L351" s="22"/>
      <c r="M351" s="22"/>
      <c r="N351" s="22"/>
      <c r="O351" s="22"/>
    </row>
    <row r="352" spans="1:15" ht="12.45">
      <c r="A352" s="1"/>
      <c r="B352" s="1"/>
      <c r="C352" s="1"/>
      <c r="D352" s="1"/>
      <c r="E352" s="1"/>
      <c r="F352" s="1"/>
      <c r="G352" s="1"/>
      <c r="H352" s="1"/>
      <c r="I352" s="1"/>
      <c r="L352" s="22"/>
      <c r="M352" s="22"/>
      <c r="N352" s="22"/>
      <c r="O352" s="22"/>
    </row>
    <row r="353" spans="1:15" ht="12.45">
      <c r="A353" s="1"/>
      <c r="B353" s="1"/>
      <c r="C353" s="1"/>
      <c r="D353" s="1"/>
      <c r="E353" s="1"/>
      <c r="F353" s="1"/>
      <c r="G353" s="1"/>
      <c r="H353" s="1"/>
      <c r="I353" s="1"/>
      <c r="L353" s="22"/>
      <c r="M353" s="22"/>
      <c r="N353" s="22"/>
      <c r="O353" s="22"/>
    </row>
    <row r="354" spans="1:15" ht="12.45">
      <c r="A354" s="1"/>
      <c r="B354" s="1"/>
      <c r="C354" s="1"/>
      <c r="D354" s="1"/>
      <c r="E354" s="1"/>
      <c r="F354" s="1"/>
      <c r="G354" s="1"/>
      <c r="H354" s="1"/>
      <c r="I354" s="1"/>
      <c r="L354" s="22"/>
      <c r="M354" s="22"/>
      <c r="N354" s="22"/>
      <c r="O354" s="22"/>
    </row>
    <row r="355" spans="1:15" ht="12.45">
      <c r="A355" s="1"/>
      <c r="B355" s="1"/>
      <c r="C355" s="1"/>
      <c r="D355" s="1"/>
      <c r="E355" s="1"/>
      <c r="F355" s="1"/>
      <c r="G355" s="1"/>
      <c r="H355" s="1"/>
      <c r="I355" s="1"/>
      <c r="L355" s="22"/>
      <c r="M355" s="22"/>
      <c r="N355" s="22"/>
      <c r="O355" s="22"/>
    </row>
    <row r="356" spans="1:15" ht="12.45">
      <c r="A356" s="1"/>
      <c r="B356" s="1"/>
      <c r="C356" s="1"/>
      <c r="D356" s="1"/>
      <c r="E356" s="1"/>
      <c r="F356" s="1"/>
      <c r="G356" s="1"/>
      <c r="H356" s="1"/>
      <c r="I356" s="1"/>
      <c r="L356" s="22"/>
      <c r="M356" s="22"/>
      <c r="N356" s="22"/>
      <c r="O356" s="22"/>
    </row>
    <row r="357" spans="1:15" ht="12.45">
      <c r="A357" s="1"/>
      <c r="B357" s="1"/>
      <c r="C357" s="1"/>
      <c r="D357" s="1"/>
      <c r="E357" s="1"/>
      <c r="F357" s="1"/>
      <c r="G357" s="1"/>
      <c r="H357" s="1"/>
      <c r="I357" s="1"/>
      <c r="L357" s="22"/>
      <c r="M357" s="22"/>
      <c r="N357" s="22"/>
      <c r="O357" s="22"/>
    </row>
    <row r="358" spans="1:15" ht="12.45">
      <c r="A358" s="1"/>
      <c r="B358" s="1"/>
      <c r="C358" s="1"/>
      <c r="D358" s="1"/>
      <c r="E358" s="1"/>
      <c r="F358" s="1"/>
      <c r="G358" s="1"/>
      <c r="H358" s="1"/>
      <c r="I358" s="1"/>
      <c r="L358" s="22"/>
      <c r="M358" s="22"/>
      <c r="N358" s="22"/>
      <c r="O358" s="22"/>
    </row>
    <row r="359" spans="1:15" ht="12.45">
      <c r="A359" s="1"/>
      <c r="B359" s="1"/>
      <c r="C359" s="1"/>
      <c r="D359" s="1"/>
      <c r="E359" s="1"/>
      <c r="F359" s="1"/>
      <c r="G359" s="1"/>
      <c r="H359" s="1"/>
      <c r="I359" s="1"/>
      <c r="L359" s="22"/>
      <c r="M359" s="22"/>
      <c r="N359" s="22"/>
      <c r="O359" s="22"/>
    </row>
    <row r="360" spans="1:15" ht="12.45">
      <c r="A360" s="1"/>
      <c r="B360" s="1"/>
      <c r="C360" s="1"/>
      <c r="D360" s="1"/>
      <c r="E360" s="1"/>
      <c r="F360" s="1"/>
      <c r="G360" s="1"/>
      <c r="H360" s="1"/>
      <c r="I360" s="1"/>
      <c r="L360" s="22"/>
      <c r="M360" s="22"/>
      <c r="N360" s="22"/>
      <c r="O360" s="22"/>
    </row>
    <row r="361" spans="1:15" ht="12.45">
      <c r="A361" s="1"/>
      <c r="B361" s="1"/>
      <c r="C361" s="1"/>
      <c r="D361" s="1"/>
      <c r="E361" s="1"/>
      <c r="F361" s="1"/>
      <c r="G361" s="1"/>
      <c r="H361" s="1"/>
      <c r="I361" s="1"/>
      <c r="L361" s="22"/>
      <c r="M361" s="22"/>
      <c r="N361" s="22"/>
      <c r="O361" s="22"/>
    </row>
    <row r="362" spans="1:15" ht="12.45">
      <c r="A362" s="1"/>
      <c r="B362" s="1"/>
      <c r="C362" s="1"/>
      <c r="D362" s="1"/>
      <c r="E362" s="1"/>
      <c r="F362" s="1"/>
      <c r="G362" s="1"/>
      <c r="H362" s="1"/>
      <c r="I362" s="1"/>
      <c r="L362" s="22"/>
      <c r="M362" s="22"/>
      <c r="N362" s="22"/>
      <c r="O362" s="22"/>
    </row>
    <row r="363" spans="1:15" ht="12.45">
      <c r="A363" s="1"/>
      <c r="B363" s="1"/>
      <c r="C363" s="1"/>
      <c r="D363" s="1"/>
      <c r="E363" s="1"/>
      <c r="F363" s="1"/>
      <c r="G363" s="1"/>
      <c r="H363" s="1"/>
      <c r="I363" s="1"/>
      <c r="L363" s="22"/>
      <c r="M363" s="22"/>
      <c r="N363" s="22"/>
      <c r="O363" s="22"/>
    </row>
    <row r="364" spans="1:15" ht="12.45">
      <c r="A364" s="1"/>
      <c r="B364" s="1"/>
      <c r="C364" s="1"/>
      <c r="D364" s="1"/>
      <c r="E364" s="1"/>
      <c r="F364" s="1"/>
      <c r="G364" s="1"/>
      <c r="H364" s="1"/>
      <c r="I364" s="1"/>
      <c r="L364" s="22"/>
      <c r="M364" s="22"/>
      <c r="N364" s="22"/>
      <c r="O364" s="22"/>
    </row>
    <row r="365" spans="1:15" ht="12.45">
      <c r="A365" s="1"/>
      <c r="B365" s="1"/>
      <c r="C365" s="1"/>
      <c r="D365" s="1"/>
      <c r="E365" s="1"/>
      <c r="F365" s="1"/>
      <c r="G365" s="1"/>
      <c r="H365" s="1"/>
      <c r="I365" s="1"/>
      <c r="L365" s="22"/>
      <c r="M365" s="22"/>
      <c r="N365" s="22"/>
      <c r="O365" s="22"/>
    </row>
    <row r="366" spans="1:15" ht="12.45">
      <c r="A366" s="1"/>
      <c r="B366" s="1"/>
      <c r="C366" s="1"/>
      <c r="D366" s="1"/>
      <c r="E366" s="1"/>
      <c r="F366" s="1"/>
      <c r="G366" s="1"/>
      <c r="H366" s="1"/>
      <c r="I366" s="1"/>
      <c r="L366" s="22"/>
      <c r="M366" s="22"/>
      <c r="N366" s="22"/>
      <c r="O366" s="22"/>
    </row>
    <row r="367" spans="1:15" ht="12.45">
      <c r="A367" s="1"/>
      <c r="B367" s="1"/>
      <c r="C367" s="1"/>
      <c r="D367" s="1"/>
      <c r="E367" s="1"/>
      <c r="F367" s="1"/>
      <c r="G367" s="1"/>
      <c r="H367" s="1"/>
      <c r="I367" s="1"/>
      <c r="L367" s="22"/>
      <c r="M367" s="22"/>
      <c r="N367" s="22"/>
      <c r="O367" s="22"/>
    </row>
    <row r="368" spans="1:15" ht="12.45">
      <c r="A368" s="1"/>
      <c r="B368" s="1"/>
      <c r="C368" s="1"/>
      <c r="D368" s="1"/>
      <c r="E368" s="1"/>
      <c r="F368" s="1"/>
      <c r="G368" s="1"/>
      <c r="H368" s="1"/>
      <c r="I368" s="1"/>
      <c r="L368" s="22"/>
      <c r="M368" s="22"/>
      <c r="N368" s="22"/>
      <c r="O368" s="22"/>
    </row>
    <row r="369" spans="1:15" ht="12.45">
      <c r="A369" s="1"/>
      <c r="B369" s="1"/>
      <c r="C369" s="1"/>
      <c r="D369" s="1"/>
      <c r="E369" s="1"/>
      <c r="F369" s="1"/>
      <c r="G369" s="1"/>
      <c r="H369" s="1"/>
      <c r="I369" s="1"/>
      <c r="L369" s="22"/>
      <c r="M369" s="22"/>
      <c r="N369" s="22"/>
      <c r="O369" s="22"/>
    </row>
    <row r="370" spans="1:15" ht="12.45">
      <c r="A370" s="1"/>
      <c r="B370" s="1"/>
      <c r="C370" s="1"/>
      <c r="D370" s="1"/>
      <c r="E370" s="1"/>
      <c r="F370" s="1"/>
      <c r="G370" s="1"/>
      <c r="H370" s="1"/>
      <c r="I370" s="1"/>
      <c r="L370" s="22"/>
      <c r="M370" s="22"/>
      <c r="N370" s="22"/>
      <c r="O370" s="22"/>
    </row>
    <row r="371" spans="1:15" ht="12.45">
      <c r="A371" s="1"/>
      <c r="B371" s="1"/>
      <c r="C371" s="1"/>
      <c r="D371" s="1"/>
      <c r="E371" s="1"/>
      <c r="F371" s="1"/>
      <c r="G371" s="1"/>
      <c r="H371" s="1"/>
      <c r="I371" s="1"/>
      <c r="L371" s="22"/>
      <c r="M371" s="22"/>
      <c r="N371" s="22"/>
      <c r="O371" s="22"/>
    </row>
    <row r="372" spans="1:15" ht="12.45">
      <c r="A372" s="1"/>
      <c r="B372" s="1"/>
      <c r="C372" s="1"/>
      <c r="D372" s="1"/>
      <c r="E372" s="1"/>
      <c r="F372" s="1"/>
      <c r="G372" s="1"/>
      <c r="H372" s="1"/>
      <c r="I372" s="1"/>
      <c r="L372" s="22"/>
      <c r="M372" s="22"/>
      <c r="N372" s="22"/>
      <c r="O372" s="22"/>
    </row>
    <row r="373" spans="1:15" ht="12.45">
      <c r="A373" s="1"/>
      <c r="B373" s="1"/>
      <c r="C373" s="1"/>
      <c r="D373" s="1"/>
      <c r="E373" s="1"/>
      <c r="F373" s="1"/>
      <c r="G373" s="1"/>
      <c r="H373" s="1"/>
      <c r="I373" s="1"/>
      <c r="L373" s="22"/>
      <c r="M373" s="22"/>
      <c r="N373" s="22"/>
      <c r="O373" s="22"/>
    </row>
    <row r="374" spans="1:15" ht="12.45">
      <c r="A374" s="1"/>
      <c r="B374" s="1"/>
      <c r="C374" s="1"/>
      <c r="D374" s="1"/>
      <c r="E374" s="1"/>
      <c r="F374" s="1"/>
      <c r="G374" s="1"/>
      <c r="H374" s="1"/>
      <c r="I374" s="1"/>
      <c r="L374" s="22"/>
      <c r="M374" s="22"/>
      <c r="N374" s="22"/>
      <c r="O374" s="22"/>
    </row>
    <row r="375" spans="1:15" ht="12.45">
      <c r="A375" s="1"/>
      <c r="B375" s="1"/>
      <c r="C375" s="1"/>
      <c r="D375" s="1"/>
      <c r="E375" s="1"/>
      <c r="F375" s="1"/>
      <c r="G375" s="1"/>
      <c r="H375" s="1"/>
      <c r="I375" s="1"/>
      <c r="L375" s="22"/>
      <c r="M375" s="22"/>
      <c r="N375" s="22"/>
      <c r="O375" s="22"/>
    </row>
    <row r="376" spans="1:15" ht="12.45">
      <c r="A376" s="1"/>
      <c r="B376" s="1"/>
      <c r="C376" s="1"/>
      <c r="D376" s="1"/>
      <c r="E376" s="1"/>
      <c r="F376" s="1"/>
      <c r="G376" s="1"/>
      <c r="H376" s="1"/>
      <c r="I376" s="1"/>
      <c r="L376" s="22"/>
      <c r="M376" s="22"/>
      <c r="N376" s="22"/>
      <c r="O376" s="22"/>
    </row>
    <row r="377" spans="1:15" ht="12.45">
      <c r="A377" s="1"/>
      <c r="B377" s="1"/>
      <c r="C377" s="1"/>
      <c r="D377" s="1"/>
      <c r="E377" s="1"/>
      <c r="F377" s="1"/>
      <c r="G377" s="1"/>
      <c r="H377" s="1"/>
      <c r="I377" s="1"/>
      <c r="L377" s="22"/>
      <c r="M377" s="22"/>
      <c r="N377" s="22"/>
      <c r="O377" s="22"/>
    </row>
    <row r="378" spans="1:15" ht="12.45">
      <c r="A378" s="1"/>
      <c r="B378" s="1"/>
      <c r="C378" s="1"/>
      <c r="D378" s="1"/>
      <c r="E378" s="1"/>
      <c r="F378" s="1"/>
      <c r="G378" s="1"/>
      <c r="H378" s="1"/>
      <c r="I378" s="1"/>
      <c r="L378" s="22"/>
      <c r="M378" s="22"/>
      <c r="N378" s="22"/>
      <c r="O378" s="22"/>
    </row>
    <row r="379" spans="1:15" ht="12.45">
      <c r="A379" s="1"/>
      <c r="B379" s="1"/>
      <c r="C379" s="1"/>
      <c r="D379" s="1"/>
      <c r="E379" s="1"/>
      <c r="F379" s="1"/>
      <c r="G379" s="1"/>
      <c r="H379" s="1"/>
      <c r="I379" s="1"/>
      <c r="L379" s="22"/>
      <c r="M379" s="22"/>
      <c r="N379" s="22"/>
      <c r="O379" s="22"/>
    </row>
    <row r="380" spans="1:15" ht="12.45">
      <c r="A380" s="1"/>
      <c r="B380" s="1"/>
      <c r="C380" s="1"/>
      <c r="D380" s="1"/>
      <c r="E380" s="1"/>
      <c r="F380" s="1"/>
      <c r="G380" s="1"/>
      <c r="H380" s="1"/>
      <c r="I380" s="1"/>
      <c r="L380" s="22"/>
      <c r="M380" s="22"/>
      <c r="N380" s="22"/>
      <c r="O380" s="22"/>
    </row>
    <row r="381" spans="1:15" ht="12.45">
      <c r="A381" s="1"/>
      <c r="B381" s="1"/>
      <c r="C381" s="1"/>
      <c r="D381" s="1"/>
      <c r="E381" s="1"/>
      <c r="F381" s="1"/>
      <c r="G381" s="1"/>
      <c r="H381" s="1"/>
      <c r="I381" s="1"/>
      <c r="L381" s="22"/>
      <c r="M381" s="22"/>
      <c r="N381" s="22"/>
      <c r="O381" s="22"/>
    </row>
    <row r="382" spans="1:15" ht="12.45">
      <c r="A382" s="1"/>
      <c r="B382" s="1"/>
      <c r="C382" s="1"/>
      <c r="D382" s="1"/>
      <c r="E382" s="1"/>
      <c r="F382" s="1"/>
      <c r="G382" s="1"/>
      <c r="H382" s="1"/>
      <c r="I382" s="1"/>
      <c r="L382" s="22"/>
      <c r="M382" s="22"/>
      <c r="N382" s="22"/>
      <c r="O382" s="22"/>
    </row>
    <row r="383" spans="1:15" ht="12.45">
      <c r="A383" s="1"/>
      <c r="B383" s="1"/>
      <c r="C383" s="1"/>
      <c r="D383" s="1"/>
      <c r="E383" s="1"/>
      <c r="F383" s="1"/>
      <c r="G383" s="1"/>
      <c r="H383" s="1"/>
      <c r="I383" s="1"/>
      <c r="L383" s="22"/>
      <c r="M383" s="22"/>
      <c r="N383" s="22"/>
      <c r="O383" s="22"/>
    </row>
    <row r="384" spans="1:15" ht="12.45">
      <c r="A384" s="1"/>
      <c r="B384" s="1"/>
      <c r="C384" s="1"/>
      <c r="D384" s="1"/>
      <c r="E384" s="1"/>
      <c r="F384" s="1"/>
      <c r="G384" s="1"/>
      <c r="H384" s="1"/>
      <c r="I384" s="1"/>
      <c r="L384" s="22"/>
      <c r="M384" s="22"/>
      <c r="N384" s="22"/>
      <c r="O384" s="22"/>
    </row>
    <row r="385" spans="1:15" ht="12.45">
      <c r="A385" s="1"/>
      <c r="B385" s="1"/>
      <c r="C385" s="1"/>
      <c r="D385" s="1"/>
      <c r="E385" s="1"/>
      <c r="F385" s="1"/>
      <c r="G385" s="1"/>
      <c r="H385" s="1"/>
      <c r="I385" s="1"/>
      <c r="L385" s="22"/>
      <c r="M385" s="22"/>
      <c r="N385" s="22"/>
      <c r="O385" s="22"/>
    </row>
    <row r="386" spans="1:15" ht="12.45">
      <c r="A386" s="1"/>
      <c r="B386" s="1"/>
      <c r="C386" s="1"/>
      <c r="D386" s="1"/>
      <c r="E386" s="1"/>
      <c r="F386" s="1"/>
      <c r="G386" s="1"/>
      <c r="H386" s="1"/>
      <c r="I386" s="1"/>
      <c r="L386" s="22"/>
      <c r="M386" s="22"/>
      <c r="N386" s="22"/>
      <c r="O386" s="22"/>
    </row>
    <row r="387" spans="1:15" ht="12.45">
      <c r="A387" s="1"/>
      <c r="B387" s="1"/>
      <c r="C387" s="1"/>
      <c r="D387" s="1"/>
      <c r="E387" s="1"/>
      <c r="F387" s="1"/>
      <c r="G387" s="1"/>
      <c r="H387" s="1"/>
      <c r="I387" s="1"/>
      <c r="L387" s="22"/>
      <c r="M387" s="22"/>
      <c r="N387" s="22"/>
      <c r="O387" s="22"/>
    </row>
    <row r="388" spans="1:15" ht="12.45">
      <c r="A388" s="1"/>
      <c r="B388" s="1"/>
      <c r="C388" s="1"/>
      <c r="D388" s="1"/>
      <c r="E388" s="1"/>
      <c r="F388" s="1"/>
      <c r="G388" s="1"/>
      <c r="H388" s="1"/>
      <c r="I388" s="1"/>
      <c r="L388" s="22"/>
      <c r="M388" s="22"/>
      <c r="N388" s="22"/>
      <c r="O388" s="22"/>
    </row>
    <row r="389" spans="1:15" ht="12.45">
      <c r="A389" s="1"/>
      <c r="B389" s="1"/>
      <c r="C389" s="1"/>
      <c r="D389" s="1"/>
      <c r="E389" s="1"/>
      <c r="F389" s="1"/>
      <c r="G389" s="1"/>
      <c r="H389" s="1"/>
      <c r="I389" s="1"/>
      <c r="L389" s="22"/>
      <c r="M389" s="22"/>
      <c r="N389" s="22"/>
      <c r="O389" s="22"/>
    </row>
    <row r="390" spans="1:15" ht="12.45">
      <c r="A390" s="1"/>
      <c r="B390" s="1"/>
      <c r="C390" s="1"/>
      <c r="D390" s="1"/>
      <c r="E390" s="1"/>
      <c r="F390" s="1"/>
      <c r="G390" s="1"/>
      <c r="H390" s="1"/>
      <c r="I390" s="1"/>
      <c r="L390" s="22"/>
      <c r="M390" s="22"/>
      <c r="N390" s="22"/>
      <c r="O390" s="22"/>
    </row>
    <row r="391" spans="1:15" ht="12.45">
      <c r="A391" s="1"/>
      <c r="B391" s="1"/>
      <c r="C391" s="1"/>
      <c r="D391" s="1"/>
      <c r="E391" s="1"/>
      <c r="F391" s="1"/>
      <c r="G391" s="1"/>
      <c r="H391" s="1"/>
      <c r="I391" s="1"/>
      <c r="L391" s="22"/>
      <c r="M391" s="22"/>
      <c r="N391" s="22"/>
      <c r="O391" s="22"/>
    </row>
    <row r="392" spans="1:15" ht="12.45">
      <c r="A392" s="1"/>
      <c r="B392" s="1"/>
      <c r="C392" s="1"/>
      <c r="D392" s="1"/>
      <c r="E392" s="1"/>
      <c r="F392" s="1"/>
      <c r="G392" s="1"/>
      <c r="H392" s="1"/>
      <c r="I392" s="1"/>
      <c r="L392" s="22"/>
      <c r="M392" s="22"/>
      <c r="N392" s="22"/>
      <c r="O392" s="22"/>
    </row>
    <row r="393" spans="1:15" ht="12.45">
      <c r="A393" s="1"/>
      <c r="B393" s="1"/>
      <c r="C393" s="1"/>
      <c r="D393" s="1"/>
      <c r="E393" s="1"/>
      <c r="F393" s="1"/>
      <c r="G393" s="1"/>
      <c r="H393" s="1"/>
      <c r="I393" s="1"/>
      <c r="L393" s="22"/>
      <c r="M393" s="22"/>
      <c r="N393" s="22"/>
      <c r="O393" s="22"/>
    </row>
    <row r="394" spans="1:15" ht="12.45">
      <c r="A394" s="1"/>
      <c r="B394" s="1"/>
      <c r="C394" s="1"/>
      <c r="D394" s="1"/>
      <c r="E394" s="1"/>
      <c r="F394" s="1"/>
      <c r="G394" s="1"/>
      <c r="H394" s="1"/>
      <c r="I394" s="1"/>
      <c r="L394" s="22"/>
      <c r="M394" s="22"/>
      <c r="N394" s="22"/>
      <c r="O394" s="22"/>
    </row>
    <row r="395" spans="1:15" ht="12.45">
      <c r="A395" s="1"/>
      <c r="B395" s="1"/>
      <c r="C395" s="1"/>
      <c r="D395" s="1"/>
      <c r="E395" s="1"/>
      <c r="F395" s="1"/>
      <c r="G395" s="1"/>
      <c r="H395" s="1"/>
      <c r="I395" s="1"/>
      <c r="L395" s="22"/>
      <c r="M395" s="22"/>
      <c r="N395" s="22"/>
      <c r="O395" s="22"/>
    </row>
    <row r="396" spans="1:15" ht="12.45">
      <c r="A396" s="1"/>
      <c r="B396" s="1"/>
      <c r="C396" s="1"/>
      <c r="D396" s="1"/>
      <c r="E396" s="1"/>
      <c r="F396" s="1"/>
      <c r="G396" s="1"/>
      <c r="H396" s="1"/>
      <c r="I396" s="1"/>
      <c r="L396" s="22"/>
      <c r="M396" s="22"/>
      <c r="N396" s="22"/>
      <c r="O396" s="22"/>
    </row>
    <row r="397" spans="1:15" ht="12.45">
      <c r="A397" s="1"/>
      <c r="B397" s="1"/>
      <c r="C397" s="1"/>
      <c r="D397" s="1"/>
      <c r="E397" s="1"/>
      <c r="F397" s="1"/>
      <c r="G397" s="1"/>
      <c r="H397" s="1"/>
      <c r="I397" s="1"/>
      <c r="L397" s="22"/>
      <c r="M397" s="22"/>
      <c r="N397" s="22"/>
      <c r="O397" s="22"/>
    </row>
    <row r="398" spans="1:15" ht="12.45">
      <c r="A398" s="1"/>
      <c r="B398" s="1"/>
      <c r="C398" s="1"/>
      <c r="D398" s="1"/>
      <c r="E398" s="1"/>
      <c r="F398" s="1"/>
      <c r="G398" s="1"/>
      <c r="H398" s="1"/>
      <c r="I398" s="1"/>
      <c r="L398" s="22"/>
      <c r="M398" s="22"/>
      <c r="N398" s="22"/>
      <c r="O398" s="22"/>
    </row>
    <row r="399" spans="1:15" ht="12.45">
      <c r="A399" s="1"/>
      <c r="B399" s="1"/>
      <c r="C399" s="1"/>
      <c r="D399" s="1"/>
      <c r="E399" s="1"/>
      <c r="F399" s="1"/>
      <c r="G399" s="1"/>
      <c r="H399" s="1"/>
      <c r="I399" s="1"/>
      <c r="L399" s="22"/>
      <c r="M399" s="22"/>
      <c r="N399" s="22"/>
      <c r="O399" s="22"/>
    </row>
    <row r="400" spans="1:15" ht="12.45">
      <c r="A400" s="1"/>
      <c r="B400" s="1"/>
      <c r="C400" s="1"/>
      <c r="D400" s="1"/>
      <c r="E400" s="1"/>
      <c r="F400" s="1"/>
      <c r="G400" s="1"/>
      <c r="H400" s="1"/>
      <c r="I400" s="1"/>
      <c r="L400" s="22"/>
      <c r="M400" s="22"/>
      <c r="N400" s="22"/>
      <c r="O400" s="22"/>
    </row>
    <row r="401" spans="1:15" ht="12.45">
      <c r="A401" s="1"/>
      <c r="B401" s="1"/>
      <c r="C401" s="1"/>
      <c r="D401" s="1"/>
      <c r="E401" s="1"/>
      <c r="F401" s="1"/>
      <c r="G401" s="1"/>
      <c r="H401" s="1"/>
      <c r="I401" s="1"/>
      <c r="L401" s="22"/>
      <c r="M401" s="22"/>
      <c r="N401" s="22"/>
      <c r="O401" s="22"/>
    </row>
    <row r="402" spans="1:15" ht="12.45">
      <c r="A402" s="1"/>
      <c r="B402" s="1"/>
      <c r="C402" s="1"/>
      <c r="D402" s="1"/>
      <c r="E402" s="1"/>
      <c r="F402" s="1"/>
      <c r="G402" s="1"/>
      <c r="H402" s="1"/>
      <c r="I402" s="1"/>
      <c r="L402" s="22"/>
      <c r="M402" s="22"/>
      <c r="N402" s="22"/>
      <c r="O402" s="22"/>
    </row>
    <row r="403" spans="1:15" ht="12.45">
      <c r="A403" s="1"/>
      <c r="B403" s="1"/>
      <c r="C403" s="1"/>
      <c r="D403" s="1"/>
      <c r="E403" s="1"/>
      <c r="F403" s="1"/>
      <c r="G403" s="1"/>
      <c r="H403" s="1"/>
      <c r="I403" s="1"/>
      <c r="L403" s="22"/>
      <c r="M403" s="22"/>
      <c r="N403" s="22"/>
      <c r="O403" s="22"/>
    </row>
    <row r="404" spans="1:15" ht="12.45">
      <c r="A404" s="1"/>
      <c r="B404" s="1"/>
      <c r="C404" s="1"/>
      <c r="D404" s="1"/>
      <c r="E404" s="1"/>
      <c r="F404" s="1"/>
      <c r="G404" s="1"/>
      <c r="H404" s="1"/>
      <c r="I404" s="1"/>
      <c r="L404" s="22"/>
      <c r="M404" s="22"/>
      <c r="N404" s="22"/>
      <c r="O404" s="22"/>
    </row>
    <row r="405" spans="1:15" ht="12.45">
      <c r="A405" s="1"/>
      <c r="B405" s="1"/>
      <c r="C405" s="1"/>
      <c r="D405" s="1"/>
      <c r="E405" s="1"/>
      <c r="F405" s="1"/>
      <c r="G405" s="1"/>
      <c r="H405" s="1"/>
      <c r="I405" s="1"/>
      <c r="L405" s="22"/>
      <c r="M405" s="22"/>
      <c r="N405" s="22"/>
      <c r="O405" s="22"/>
    </row>
    <row r="406" spans="1:15" ht="12.45">
      <c r="A406" s="1"/>
      <c r="B406" s="1"/>
      <c r="C406" s="1"/>
      <c r="D406" s="1"/>
      <c r="E406" s="1"/>
      <c r="F406" s="1"/>
      <c r="G406" s="1"/>
      <c r="H406" s="1"/>
      <c r="I406" s="1"/>
      <c r="L406" s="22"/>
      <c r="M406" s="22"/>
      <c r="N406" s="22"/>
      <c r="O406" s="22"/>
    </row>
    <row r="407" spans="1:15" ht="12.45">
      <c r="A407" s="1"/>
      <c r="B407" s="1"/>
      <c r="C407" s="1"/>
      <c r="D407" s="1"/>
      <c r="E407" s="1"/>
      <c r="F407" s="1"/>
      <c r="G407" s="1"/>
      <c r="H407" s="1"/>
      <c r="I407" s="1"/>
      <c r="L407" s="22"/>
      <c r="M407" s="22"/>
      <c r="N407" s="22"/>
      <c r="O407" s="22"/>
    </row>
    <row r="408" spans="1:15" ht="12.45">
      <c r="A408" s="1"/>
      <c r="B408" s="1"/>
      <c r="C408" s="1"/>
      <c r="D408" s="1"/>
      <c r="E408" s="1"/>
      <c r="F408" s="1"/>
      <c r="G408" s="1"/>
      <c r="H408" s="1"/>
      <c r="I408" s="1"/>
      <c r="L408" s="22"/>
      <c r="M408" s="22"/>
      <c r="N408" s="22"/>
      <c r="O408" s="22"/>
    </row>
    <row r="409" spans="1:15" ht="12.45">
      <c r="A409" s="1"/>
      <c r="B409" s="1"/>
      <c r="C409" s="1"/>
      <c r="D409" s="1"/>
      <c r="E409" s="1"/>
      <c r="F409" s="1"/>
      <c r="G409" s="1"/>
      <c r="H409" s="1"/>
      <c r="I409" s="1"/>
      <c r="L409" s="22"/>
      <c r="M409" s="22"/>
      <c r="N409" s="22"/>
      <c r="O409" s="22"/>
    </row>
    <row r="410" spans="1:15" ht="12.45">
      <c r="A410" s="1"/>
      <c r="B410" s="1"/>
      <c r="C410" s="1"/>
      <c r="D410" s="1"/>
      <c r="E410" s="1"/>
      <c r="F410" s="1"/>
      <c r="G410" s="1"/>
      <c r="H410" s="1"/>
      <c r="I410" s="1"/>
      <c r="L410" s="22"/>
      <c r="M410" s="22"/>
      <c r="N410" s="22"/>
      <c r="O410" s="22"/>
    </row>
    <row r="411" spans="1:15" ht="12.45">
      <c r="A411" s="1"/>
      <c r="B411" s="1"/>
      <c r="C411" s="1"/>
      <c r="D411" s="1"/>
      <c r="E411" s="1"/>
      <c r="F411" s="1"/>
      <c r="G411" s="1"/>
      <c r="H411" s="1"/>
      <c r="I411" s="1"/>
      <c r="L411" s="22"/>
      <c r="M411" s="22"/>
      <c r="N411" s="22"/>
      <c r="O411" s="22"/>
    </row>
    <row r="412" spans="1:15" ht="12.45">
      <c r="A412" s="1"/>
      <c r="B412" s="1"/>
      <c r="C412" s="1"/>
      <c r="D412" s="1"/>
      <c r="E412" s="1"/>
      <c r="F412" s="1"/>
      <c r="G412" s="1"/>
      <c r="H412" s="1"/>
      <c r="I412" s="1"/>
      <c r="L412" s="22"/>
      <c r="M412" s="22"/>
      <c r="N412" s="22"/>
      <c r="O412" s="22"/>
    </row>
    <row r="413" spans="1:15" ht="12.45">
      <c r="A413" s="1"/>
      <c r="B413" s="1"/>
      <c r="C413" s="1"/>
      <c r="D413" s="1"/>
      <c r="E413" s="1"/>
      <c r="F413" s="1"/>
      <c r="G413" s="1"/>
      <c r="H413" s="1"/>
      <c r="I413" s="1"/>
      <c r="L413" s="22"/>
      <c r="M413" s="22"/>
      <c r="N413" s="22"/>
      <c r="O413" s="22"/>
    </row>
    <row r="414" spans="1:15" ht="12.45">
      <c r="A414" s="1"/>
      <c r="B414" s="1"/>
      <c r="C414" s="1"/>
      <c r="D414" s="1"/>
      <c r="E414" s="1"/>
      <c r="F414" s="1"/>
      <c r="G414" s="1"/>
      <c r="H414" s="1"/>
      <c r="I414" s="1"/>
      <c r="L414" s="22"/>
      <c r="M414" s="22"/>
      <c r="N414" s="22"/>
      <c r="O414" s="22"/>
    </row>
    <row r="415" spans="1:15" ht="12.45">
      <c r="A415" s="1"/>
      <c r="B415" s="1"/>
      <c r="C415" s="1"/>
      <c r="D415" s="1"/>
      <c r="E415" s="1"/>
      <c r="F415" s="1"/>
      <c r="G415" s="1"/>
      <c r="H415" s="1"/>
      <c r="I415" s="1"/>
      <c r="L415" s="22"/>
      <c r="M415" s="22"/>
      <c r="N415" s="22"/>
      <c r="O415" s="22"/>
    </row>
    <row r="416" spans="1:15" ht="12.45">
      <c r="A416" s="1"/>
      <c r="B416" s="1"/>
      <c r="C416" s="1"/>
      <c r="D416" s="1"/>
      <c r="E416" s="1"/>
      <c r="F416" s="1"/>
      <c r="G416" s="1"/>
      <c r="H416" s="1"/>
      <c r="I416" s="1"/>
      <c r="L416" s="22"/>
      <c r="M416" s="22"/>
      <c r="N416" s="22"/>
      <c r="O416" s="22"/>
    </row>
    <row r="417" spans="1:15" ht="12.45">
      <c r="A417" s="1"/>
      <c r="B417" s="1"/>
      <c r="C417" s="1"/>
      <c r="D417" s="1"/>
      <c r="E417" s="1"/>
      <c r="F417" s="1"/>
      <c r="G417" s="1"/>
      <c r="H417" s="1"/>
      <c r="I417" s="1"/>
      <c r="L417" s="22"/>
      <c r="M417" s="22"/>
      <c r="N417" s="22"/>
      <c r="O417" s="22"/>
    </row>
    <row r="418" spans="1:15" ht="12.45">
      <c r="A418" s="1"/>
      <c r="B418" s="1"/>
      <c r="C418" s="1"/>
      <c r="D418" s="1"/>
      <c r="E418" s="1"/>
      <c r="F418" s="1"/>
      <c r="G418" s="1"/>
      <c r="H418" s="1"/>
      <c r="I418" s="1"/>
      <c r="L418" s="22"/>
      <c r="M418" s="22"/>
      <c r="N418" s="22"/>
      <c r="O418" s="22"/>
    </row>
    <row r="419" spans="1:15" ht="12.45">
      <c r="A419" s="1"/>
      <c r="B419" s="1"/>
      <c r="C419" s="1"/>
      <c r="D419" s="1"/>
      <c r="E419" s="1"/>
      <c r="F419" s="1"/>
      <c r="G419" s="1"/>
      <c r="H419" s="1"/>
      <c r="I419" s="1"/>
      <c r="L419" s="22"/>
      <c r="M419" s="22"/>
      <c r="N419" s="22"/>
      <c r="O419" s="22"/>
    </row>
    <row r="420" spans="1:15" ht="12.45">
      <c r="A420" s="1"/>
      <c r="B420" s="1"/>
      <c r="C420" s="1"/>
      <c r="D420" s="1"/>
      <c r="E420" s="1"/>
      <c r="F420" s="1"/>
      <c r="G420" s="1"/>
      <c r="H420" s="1"/>
      <c r="I420" s="1"/>
      <c r="L420" s="22"/>
      <c r="M420" s="22"/>
      <c r="N420" s="22"/>
      <c r="O420" s="22"/>
    </row>
    <row r="421" spans="1:15" ht="12.45">
      <c r="A421" s="1"/>
      <c r="B421" s="1"/>
      <c r="C421" s="1"/>
      <c r="D421" s="1"/>
      <c r="E421" s="1"/>
      <c r="F421" s="1"/>
      <c r="G421" s="1"/>
      <c r="H421" s="1"/>
      <c r="I421" s="1"/>
      <c r="L421" s="22"/>
      <c r="M421" s="22"/>
      <c r="N421" s="22"/>
      <c r="O421" s="22"/>
    </row>
    <row r="422" spans="1:15" ht="12.45">
      <c r="A422" s="1"/>
      <c r="B422" s="1"/>
      <c r="C422" s="1"/>
      <c r="D422" s="1"/>
      <c r="E422" s="1"/>
      <c r="F422" s="1"/>
      <c r="G422" s="1"/>
      <c r="H422" s="1"/>
      <c r="I422" s="1"/>
      <c r="L422" s="22"/>
      <c r="M422" s="22"/>
      <c r="N422" s="22"/>
      <c r="O422" s="22"/>
    </row>
    <row r="423" spans="1:15" ht="12.45">
      <c r="A423" s="1"/>
      <c r="B423" s="1"/>
      <c r="C423" s="1"/>
      <c r="D423" s="1"/>
      <c r="E423" s="1"/>
      <c r="F423" s="1"/>
      <c r="G423" s="1"/>
      <c r="H423" s="1"/>
      <c r="I423" s="1"/>
      <c r="L423" s="22"/>
      <c r="M423" s="22"/>
      <c r="N423" s="22"/>
      <c r="O423" s="22"/>
    </row>
    <row r="424" spans="1:15" ht="12.45">
      <c r="A424" s="1"/>
      <c r="B424" s="1"/>
      <c r="C424" s="1"/>
      <c r="D424" s="1"/>
      <c r="E424" s="1"/>
      <c r="F424" s="1"/>
      <c r="G424" s="1"/>
      <c r="H424" s="1"/>
      <c r="I424" s="1"/>
      <c r="L424" s="22"/>
      <c r="M424" s="22"/>
      <c r="N424" s="22"/>
      <c r="O424" s="22"/>
    </row>
    <row r="425" spans="1:15" ht="12.45">
      <c r="A425" s="1"/>
      <c r="B425" s="1"/>
      <c r="C425" s="1"/>
      <c r="D425" s="1"/>
      <c r="E425" s="1"/>
      <c r="F425" s="1"/>
      <c r="G425" s="1"/>
      <c r="H425" s="1"/>
      <c r="I425" s="1"/>
      <c r="L425" s="22"/>
      <c r="M425" s="22"/>
      <c r="N425" s="22"/>
      <c r="O425" s="22"/>
    </row>
    <row r="426" spans="1:15" ht="12.45">
      <c r="A426" s="1"/>
      <c r="B426" s="1"/>
      <c r="C426" s="1"/>
      <c r="D426" s="1"/>
      <c r="E426" s="1"/>
      <c r="F426" s="1"/>
      <c r="G426" s="1"/>
      <c r="H426" s="1"/>
      <c r="I426" s="1"/>
      <c r="L426" s="22"/>
      <c r="M426" s="22"/>
      <c r="N426" s="22"/>
      <c r="O426" s="22"/>
    </row>
    <row r="427" spans="1:15" ht="12.45">
      <c r="A427" s="1"/>
      <c r="B427" s="1"/>
      <c r="C427" s="1"/>
      <c r="D427" s="1"/>
      <c r="E427" s="1"/>
      <c r="F427" s="1"/>
      <c r="G427" s="1"/>
      <c r="H427" s="1"/>
      <c r="I427" s="1"/>
      <c r="L427" s="22"/>
      <c r="M427" s="22"/>
      <c r="N427" s="22"/>
      <c r="O427" s="22"/>
    </row>
    <row r="428" spans="1:15" ht="12.45">
      <c r="A428" s="1"/>
      <c r="B428" s="1"/>
      <c r="C428" s="1"/>
      <c r="D428" s="1"/>
      <c r="E428" s="1"/>
      <c r="F428" s="1"/>
      <c r="G428" s="1"/>
      <c r="H428" s="1"/>
      <c r="I428" s="1"/>
      <c r="L428" s="22"/>
      <c r="M428" s="22"/>
      <c r="N428" s="22"/>
      <c r="O428" s="22"/>
    </row>
    <row r="429" spans="1:15" ht="12.45">
      <c r="A429" s="1"/>
      <c r="B429" s="1"/>
      <c r="C429" s="1"/>
      <c r="D429" s="1"/>
      <c r="E429" s="1"/>
      <c r="F429" s="1"/>
      <c r="G429" s="1"/>
      <c r="H429" s="1"/>
      <c r="I429" s="1"/>
      <c r="L429" s="22"/>
      <c r="M429" s="22"/>
      <c r="N429" s="22"/>
      <c r="O429" s="22"/>
    </row>
    <row r="430" spans="1:15" ht="12.45">
      <c r="A430" s="1"/>
      <c r="B430" s="1"/>
      <c r="C430" s="1"/>
      <c r="D430" s="1"/>
      <c r="E430" s="1"/>
      <c r="F430" s="1"/>
      <c r="G430" s="1"/>
      <c r="H430" s="1"/>
      <c r="I430" s="1"/>
      <c r="L430" s="22"/>
      <c r="M430" s="22"/>
      <c r="N430" s="22"/>
      <c r="O430" s="22"/>
    </row>
    <row r="431" spans="1:15" ht="12.45">
      <c r="A431" s="1"/>
      <c r="B431" s="1"/>
      <c r="C431" s="1"/>
      <c r="D431" s="1"/>
      <c r="E431" s="1"/>
      <c r="F431" s="1"/>
      <c r="G431" s="1"/>
      <c r="H431" s="1"/>
      <c r="I431" s="1"/>
      <c r="L431" s="22"/>
      <c r="M431" s="22"/>
      <c r="N431" s="22"/>
      <c r="O431" s="22"/>
    </row>
    <row r="432" spans="1:15" ht="12.45">
      <c r="A432" s="1"/>
      <c r="B432" s="1"/>
      <c r="C432" s="1"/>
      <c r="D432" s="1"/>
      <c r="E432" s="1"/>
      <c r="F432" s="1"/>
      <c r="G432" s="1"/>
      <c r="H432" s="1"/>
      <c r="I432" s="1"/>
      <c r="L432" s="22"/>
      <c r="M432" s="22"/>
      <c r="N432" s="22"/>
      <c r="O432" s="22"/>
    </row>
    <row r="433" spans="1:15" ht="12.45">
      <c r="A433" s="1"/>
      <c r="B433" s="1"/>
      <c r="C433" s="1"/>
      <c r="D433" s="1"/>
      <c r="E433" s="1"/>
      <c r="F433" s="1"/>
      <c r="G433" s="1"/>
      <c r="H433" s="1"/>
      <c r="I433" s="1"/>
      <c r="L433" s="22"/>
      <c r="M433" s="22"/>
      <c r="N433" s="22"/>
      <c r="O433" s="22"/>
    </row>
    <row r="434" spans="1:15" ht="12.45">
      <c r="A434" s="1"/>
      <c r="B434" s="1"/>
      <c r="C434" s="1"/>
      <c r="D434" s="1"/>
      <c r="E434" s="1"/>
      <c r="F434" s="1"/>
      <c r="G434" s="1"/>
      <c r="H434" s="1"/>
      <c r="I434" s="1"/>
      <c r="L434" s="22"/>
      <c r="M434" s="22"/>
      <c r="N434" s="22"/>
      <c r="O434" s="22"/>
    </row>
    <row r="435" spans="1:15" ht="12.45">
      <c r="A435" s="1"/>
      <c r="B435" s="1"/>
      <c r="C435" s="1"/>
      <c r="D435" s="1"/>
      <c r="E435" s="1"/>
      <c r="F435" s="1"/>
      <c r="G435" s="1"/>
      <c r="H435" s="1"/>
      <c r="I435" s="1"/>
      <c r="L435" s="22"/>
      <c r="M435" s="22"/>
      <c r="N435" s="22"/>
      <c r="O435" s="22"/>
    </row>
    <row r="436" spans="1:15" ht="12.45">
      <c r="A436" s="1"/>
      <c r="B436" s="1"/>
      <c r="C436" s="1"/>
      <c r="D436" s="1"/>
      <c r="E436" s="1"/>
      <c r="F436" s="1"/>
      <c r="G436" s="1"/>
      <c r="H436" s="1"/>
      <c r="I436" s="1"/>
      <c r="L436" s="22"/>
      <c r="M436" s="22"/>
      <c r="N436" s="22"/>
      <c r="O436" s="22"/>
    </row>
    <row r="437" spans="1:15" ht="12.45">
      <c r="A437" s="1"/>
      <c r="B437" s="1"/>
      <c r="C437" s="1"/>
      <c r="D437" s="1"/>
      <c r="E437" s="1"/>
      <c r="F437" s="1"/>
      <c r="G437" s="1"/>
      <c r="H437" s="1"/>
      <c r="I437" s="1"/>
      <c r="L437" s="22"/>
      <c r="M437" s="22"/>
      <c r="N437" s="22"/>
      <c r="O437" s="22"/>
    </row>
    <row r="438" spans="1:15" ht="12.45">
      <c r="A438" s="1"/>
      <c r="B438" s="1"/>
      <c r="C438" s="1"/>
      <c r="D438" s="1"/>
      <c r="E438" s="1"/>
      <c r="F438" s="1"/>
      <c r="G438" s="1"/>
      <c r="H438" s="1"/>
      <c r="I438" s="1"/>
      <c r="L438" s="22"/>
      <c r="M438" s="22"/>
      <c r="N438" s="22"/>
      <c r="O438" s="22"/>
    </row>
    <row r="439" spans="1:15" ht="12.45">
      <c r="A439" s="1"/>
      <c r="B439" s="1"/>
      <c r="C439" s="1"/>
      <c r="D439" s="1"/>
      <c r="E439" s="1"/>
      <c r="F439" s="1"/>
      <c r="G439" s="1"/>
      <c r="H439" s="1"/>
      <c r="I439" s="1"/>
      <c r="L439" s="22"/>
      <c r="M439" s="22"/>
      <c r="N439" s="22"/>
      <c r="O439" s="22"/>
    </row>
    <row r="440" spans="1:15" ht="12.45">
      <c r="A440" s="1"/>
      <c r="B440" s="1"/>
      <c r="C440" s="1"/>
      <c r="D440" s="1"/>
      <c r="E440" s="1"/>
      <c r="F440" s="1"/>
      <c r="G440" s="1"/>
      <c r="H440" s="1"/>
      <c r="I440" s="1"/>
      <c r="L440" s="22"/>
      <c r="M440" s="22"/>
      <c r="N440" s="22"/>
      <c r="O440" s="22"/>
    </row>
    <row r="441" spans="1:15" ht="12.45">
      <c r="A441" s="1"/>
      <c r="B441" s="1"/>
      <c r="C441" s="1"/>
      <c r="D441" s="1"/>
      <c r="E441" s="1"/>
      <c r="F441" s="1"/>
      <c r="G441" s="1"/>
      <c r="H441" s="1"/>
      <c r="I441" s="1"/>
      <c r="L441" s="22"/>
      <c r="M441" s="22"/>
      <c r="N441" s="22"/>
      <c r="O441" s="22"/>
    </row>
    <row r="442" spans="1:15" ht="12.45">
      <c r="A442" s="1"/>
      <c r="B442" s="1"/>
      <c r="C442" s="1"/>
      <c r="D442" s="1"/>
      <c r="E442" s="1"/>
      <c r="F442" s="1"/>
      <c r="G442" s="1"/>
      <c r="H442" s="1"/>
      <c r="I442" s="1"/>
      <c r="L442" s="22"/>
      <c r="M442" s="22"/>
      <c r="N442" s="22"/>
      <c r="O442" s="22"/>
    </row>
    <row r="443" spans="1:15" ht="12.45">
      <c r="A443" s="1"/>
      <c r="B443" s="1"/>
      <c r="C443" s="1"/>
      <c r="D443" s="1"/>
      <c r="E443" s="1"/>
      <c r="F443" s="1"/>
      <c r="G443" s="1"/>
      <c r="H443" s="1"/>
      <c r="I443" s="1"/>
      <c r="L443" s="22"/>
      <c r="M443" s="22"/>
      <c r="N443" s="22"/>
      <c r="O443" s="22"/>
    </row>
    <row r="444" spans="1:15" ht="12.45">
      <c r="A444" s="1"/>
      <c r="B444" s="1"/>
      <c r="C444" s="1"/>
      <c r="D444" s="1"/>
      <c r="E444" s="1"/>
      <c r="F444" s="1"/>
      <c r="G444" s="1"/>
      <c r="H444" s="1"/>
      <c r="I444" s="1"/>
      <c r="L444" s="22"/>
      <c r="M444" s="22"/>
      <c r="N444" s="22"/>
      <c r="O444" s="22"/>
    </row>
    <row r="445" spans="1:15" ht="12.45">
      <c r="A445" s="1"/>
      <c r="B445" s="1"/>
      <c r="C445" s="1"/>
      <c r="D445" s="1"/>
      <c r="E445" s="1"/>
      <c r="F445" s="1"/>
      <c r="G445" s="1"/>
      <c r="H445" s="1"/>
      <c r="I445" s="1"/>
      <c r="L445" s="22"/>
      <c r="M445" s="22"/>
      <c r="N445" s="22"/>
      <c r="O445" s="22"/>
    </row>
    <row r="446" spans="1:15" ht="12.45">
      <c r="A446" s="1"/>
      <c r="B446" s="1"/>
      <c r="C446" s="1"/>
      <c r="D446" s="1"/>
      <c r="E446" s="1"/>
      <c r="F446" s="1"/>
      <c r="G446" s="1"/>
      <c r="H446" s="1"/>
      <c r="I446" s="1"/>
      <c r="L446" s="22"/>
      <c r="M446" s="22"/>
      <c r="N446" s="22"/>
      <c r="O446" s="22"/>
    </row>
    <row r="447" spans="1:15" ht="12.45">
      <c r="A447" s="1"/>
      <c r="B447" s="1"/>
      <c r="C447" s="1"/>
      <c r="D447" s="1"/>
      <c r="E447" s="1"/>
      <c r="F447" s="1"/>
      <c r="G447" s="1"/>
      <c r="H447" s="1"/>
      <c r="I447" s="1"/>
      <c r="L447" s="22"/>
      <c r="M447" s="22"/>
      <c r="N447" s="22"/>
      <c r="O447" s="22"/>
    </row>
    <row r="448" spans="1:15" ht="12.45">
      <c r="A448" s="1"/>
      <c r="B448" s="1"/>
      <c r="C448" s="1"/>
      <c r="D448" s="1"/>
      <c r="E448" s="1"/>
      <c r="F448" s="1"/>
      <c r="G448" s="1"/>
      <c r="H448" s="1"/>
      <c r="I448" s="1"/>
      <c r="L448" s="22"/>
      <c r="M448" s="22"/>
      <c r="N448" s="22"/>
      <c r="O448" s="22"/>
    </row>
    <row r="449" spans="1:15" ht="12.45">
      <c r="A449" s="1"/>
      <c r="B449" s="1"/>
      <c r="C449" s="1"/>
      <c r="D449" s="1"/>
      <c r="E449" s="1"/>
      <c r="F449" s="1"/>
      <c r="G449" s="1"/>
      <c r="H449" s="1"/>
      <c r="I449" s="1"/>
      <c r="L449" s="22"/>
      <c r="M449" s="22"/>
      <c r="N449" s="22"/>
      <c r="O449" s="22"/>
    </row>
    <row r="450" spans="1:15" ht="12.45">
      <c r="A450" s="1"/>
      <c r="B450" s="1"/>
      <c r="C450" s="1"/>
      <c r="D450" s="1"/>
      <c r="E450" s="1"/>
      <c r="F450" s="1"/>
      <c r="G450" s="1"/>
      <c r="H450" s="1"/>
      <c r="I450" s="1"/>
      <c r="L450" s="22"/>
      <c r="M450" s="22"/>
      <c r="N450" s="22"/>
      <c r="O450" s="22"/>
    </row>
    <row r="451" spans="1:15" ht="12.45">
      <c r="A451" s="1"/>
      <c r="B451" s="1"/>
      <c r="C451" s="1"/>
      <c r="D451" s="1"/>
      <c r="E451" s="1"/>
      <c r="F451" s="1"/>
      <c r="G451" s="1"/>
      <c r="H451" s="1"/>
      <c r="I451" s="1"/>
      <c r="L451" s="22"/>
      <c r="M451" s="22"/>
      <c r="N451" s="22"/>
      <c r="O451" s="22"/>
    </row>
    <row r="452" spans="1:15" ht="12.45">
      <c r="A452" s="1"/>
      <c r="B452" s="1"/>
      <c r="C452" s="1"/>
      <c r="D452" s="1"/>
      <c r="E452" s="1"/>
      <c r="F452" s="1"/>
      <c r="G452" s="1"/>
      <c r="H452" s="1"/>
      <c r="I452" s="1"/>
      <c r="L452" s="22"/>
      <c r="M452" s="22"/>
      <c r="N452" s="22"/>
      <c r="O452" s="22"/>
    </row>
    <row r="453" spans="1:15" ht="12.45">
      <c r="A453" s="1"/>
      <c r="B453" s="1"/>
      <c r="C453" s="1"/>
      <c r="D453" s="1"/>
      <c r="E453" s="1"/>
      <c r="F453" s="1"/>
      <c r="G453" s="1"/>
      <c r="H453" s="1"/>
      <c r="I453" s="1"/>
      <c r="L453" s="22"/>
      <c r="M453" s="22"/>
      <c r="N453" s="22"/>
      <c r="O453" s="22"/>
    </row>
    <row r="454" spans="1:15" ht="12.45">
      <c r="A454" s="1"/>
      <c r="B454" s="1"/>
      <c r="C454" s="1"/>
      <c r="D454" s="1"/>
      <c r="E454" s="1"/>
      <c r="F454" s="1"/>
      <c r="G454" s="1"/>
      <c r="H454" s="1"/>
      <c r="I454" s="1"/>
      <c r="L454" s="22"/>
      <c r="M454" s="22"/>
      <c r="N454" s="22"/>
      <c r="O454" s="22"/>
    </row>
    <row r="455" spans="1:15" ht="12.45">
      <c r="A455" s="1"/>
      <c r="B455" s="1"/>
      <c r="C455" s="1"/>
      <c r="D455" s="1"/>
      <c r="E455" s="1"/>
      <c r="F455" s="1"/>
      <c r="G455" s="1"/>
      <c r="H455" s="1"/>
      <c r="I455" s="1"/>
      <c r="L455" s="22"/>
      <c r="M455" s="22"/>
      <c r="N455" s="22"/>
      <c r="O455" s="22"/>
    </row>
    <row r="456" spans="1:15" ht="12.45">
      <c r="A456" s="1"/>
      <c r="B456" s="1"/>
      <c r="C456" s="1"/>
      <c r="D456" s="1"/>
      <c r="E456" s="1"/>
      <c r="F456" s="1"/>
      <c r="G456" s="1"/>
      <c r="H456" s="1"/>
      <c r="I456" s="1"/>
      <c r="L456" s="22"/>
      <c r="M456" s="22"/>
      <c r="N456" s="22"/>
      <c r="O456" s="22"/>
    </row>
    <row r="457" spans="1:15" ht="12.45">
      <c r="A457" s="1"/>
      <c r="B457" s="1"/>
      <c r="C457" s="1"/>
      <c r="D457" s="1"/>
      <c r="E457" s="1"/>
      <c r="F457" s="1"/>
      <c r="G457" s="1"/>
      <c r="H457" s="1"/>
      <c r="I457" s="1"/>
      <c r="L457" s="22"/>
      <c r="M457" s="22"/>
      <c r="N457" s="22"/>
      <c r="O457" s="22"/>
    </row>
    <row r="458" spans="1:15" ht="12.45">
      <c r="A458" s="1"/>
      <c r="B458" s="1"/>
      <c r="C458" s="1"/>
      <c r="D458" s="1"/>
      <c r="E458" s="1"/>
      <c r="F458" s="1"/>
      <c r="G458" s="1"/>
      <c r="H458" s="1"/>
      <c r="I458" s="1"/>
      <c r="L458" s="22"/>
      <c r="M458" s="22"/>
      <c r="N458" s="22"/>
      <c r="O458" s="22"/>
    </row>
    <row r="459" spans="1:15" ht="12.45">
      <c r="A459" s="1"/>
      <c r="B459" s="1"/>
      <c r="C459" s="1"/>
      <c r="D459" s="1"/>
      <c r="E459" s="1"/>
      <c r="F459" s="1"/>
      <c r="G459" s="1"/>
      <c r="H459" s="1"/>
      <c r="I459" s="1"/>
      <c r="L459" s="22"/>
      <c r="M459" s="22"/>
      <c r="N459" s="22"/>
      <c r="O459" s="22"/>
    </row>
    <row r="460" spans="1:15" ht="12.45">
      <c r="A460" s="1"/>
      <c r="B460" s="1"/>
      <c r="C460" s="1"/>
      <c r="D460" s="1"/>
      <c r="E460" s="1"/>
      <c r="F460" s="1"/>
      <c r="G460" s="1"/>
      <c r="H460" s="1"/>
      <c r="I460" s="1"/>
      <c r="L460" s="22"/>
      <c r="M460" s="22"/>
      <c r="N460" s="22"/>
      <c r="O460" s="22"/>
    </row>
    <row r="461" spans="1:15" ht="12.45">
      <c r="A461" s="1"/>
      <c r="B461" s="1"/>
      <c r="C461" s="1"/>
      <c r="D461" s="1"/>
      <c r="E461" s="1"/>
      <c r="F461" s="1"/>
      <c r="G461" s="1"/>
      <c r="H461" s="1"/>
      <c r="I461" s="1"/>
      <c r="L461" s="22"/>
      <c r="M461" s="22"/>
      <c r="N461" s="22"/>
      <c r="O461" s="22"/>
    </row>
    <row r="462" spans="1:15" ht="12.45">
      <c r="A462" s="1"/>
      <c r="B462" s="1"/>
      <c r="C462" s="1"/>
      <c r="D462" s="1"/>
      <c r="E462" s="1"/>
      <c r="F462" s="1"/>
      <c r="G462" s="1"/>
      <c r="H462" s="1"/>
      <c r="I462" s="1"/>
      <c r="L462" s="22"/>
      <c r="M462" s="22"/>
      <c r="N462" s="22"/>
      <c r="O462" s="22"/>
    </row>
    <row r="463" spans="1:15" ht="12.45">
      <c r="A463" s="1"/>
      <c r="B463" s="1"/>
      <c r="C463" s="1"/>
      <c r="D463" s="1"/>
      <c r="E463" s="1"/>
      <c r="F463" s="1"/>
      <c r="G463" s="1"/>
      <c r="H463" s="1"/>
      <c r="I463" s="1"/>
      <c r="L463" s="22"/>
      <c r="M463" s="22"/>
      <c r="N463" s="22"/>
      <c r="O463" s="22"/>
    </row>
    <row r="464" spans="1:15" ht="12.45">
      <c r="A464" s="1"/>
      <c r="B464" s="1"/>
      <c r="C464" s="1"/>
      <c r="D464" s="1"/>
      <c r="E464" s="1"/>
      <c r="F464" s="1"/>
      <c r="G464" s="1"/>
      <c r="H464" s="1"/>
      <c r="I464" s="1"/>
      <c r="L464" s="22"/>
      <c r="M464" s="22"/>
      <c r="N464" s="22"/>
      <c r="O464" s="22"/>
    </row>
    <row r="465" spans="1:15" ht="12.45">
      <c r="A465" s="1"/>
      <c r="B465" s="1"/>
      <c r="C465" s="1"/>
      <c r="D465" s="1"/>
      <c r="E465" s="1"/>
      <c r="F465" s="1"/>
      <c r="G465" s="1"/>
      <c r="H465" s="1"/>
      <c r="I465" s="1"/>
      <c r="L465" s="22"/>
      <c r="M465" s="22"/>
      <c r="N465" s="22"/>
      <c r="O465" s="22"/>
    </row>
    <row r="466" spans="1:15" ht="12.45">
      <c r="A466" s="1"/>
      <c r="B466" s="1"/>
      <c r="C466" s="1"/>
      <c r="D466" s="1"/>
      <c r="E466" s="1"/>
      <c r="F466" s="1"/>
      <c r="G466" s="1"/>
      <c r="H466" s="1"/>
      <c r="I466" s="1"/>
      <c r="L466" s="22"/>
      <c r="M466" s="22"/>
      <c r="N466" s="22"/>
      <c r="O466" s="22"/>
    </row>
    <row r="467" spans="1:15" ht="12.45">
      <c r="A467" s="1"/>
      <c r="B467" s="1"/>
      <c r="C467" s="1"/>
      <c r="D467" s="1"/>
      <c r="E467" s="1"/>
      <c r="F467" s="1"/>
      <c r="G467" s="1"/>
      <c r="H467" s="1"/>
      <c r="I467" s="1"/>
      <c r="L467" s="22"/>
      <c r="M467" s="22"/>
      <c r="N467" s="22"/>
      <c r="O467" s="22"/>
    </row>
    <row r="468" spans="1:15" ht="12.45">
      <c r="A468" s="1"/>
      <c r="B468" s="1"/>
      <c r="C468" s="1"/>
      <c r="D468" s="1"/>
      <c r="E468" s="1"/>
      <c r="F468" s="1"/>
      <c r="G468" s="1"/>
      <c r="H468" s="1"/>
      <c r="I468" s="1"/>
      <c r="L468" s="22"/>
      <c r="M468" s="22"/>
      <c r="N468" s="22"/>
      <c r="O468" s="22"/>
    </row>
    <row r="469" spans="1:15" ht="12.45">
      <c r="A469" s="1"/>
      <c r="B469" s="1"/>
      <c r="C469" s="1"/>
      <c r="D469" s="1"/>
      <c r="E469" s="1"/>
      <c r="F469" s="1"/>
      <c r="G469" s="1"/>
      <c r="H469" s="1"/>
      <c r="I469" s="1"/>
      <c r="L469" s="22"/>
      <c r="M469" s="22"/>
      <c r="N469" s="22"/>
      <c r="O469" s="22"/>
    </row>
    <row r="470" spans="1:15" ht="12.45">
      <c r="A470" s="1"/>
      <c r="B470" s="1"/>
      <c r="C470" s="1"/>
      <c r="D470" s="1"/>
      <c r="E470" s="1"/>
      <c r="F470" s="1"/>
      <c r="G470" s="1"/>
      <c r="H470" s="1"/>
      <c r="I470" s="1"/>
      <c r="L470" s="22"/>
      <c r="M470" s="22"/>
      <c r="N470" s="22"/>
      <c r="O470" s="22"/>
    </row>
    <row r="471" spans="1:15" ht="12.45">
      <c r="A471" s="1"/>
      <c r="B471" s="1"/>
      <c r="C471" s="1"/>
      <c r="D471" s="1"/>
      <c r="E471" s="1"/>
      <c r="F471" s="1"/>
      <c r="G471" s="1"/>
      <c r="H471" s="1"/>
      <c r="I471" s="1"/>
      <c r="L471" s="22"/>
      <c r="M471" s="22"/>
      <c r="N471" s="22"/>
      <c r="O471" s="22"/>
    </row>
    <row r="472" spans="1:15" ht="12.45">
      <c r="A472" s="1"/>
      <c r="B472" s="1"/>
      <c r="C472" s="1"/>
      <c r="D472" s="1"/>
      <c r="E472" s="1"/>
      <c r="F472" s="1"/>
      <c r="G472" s="1"/>
      <c r="H472" s="1"/>
      <c r="I472" s="1"/>
      <c r="L472" s="22"/>
      <c r="M472" s="22"/>
      <c r="N472" s="22"/>
      <c r="O472" s="22"/>
    </row>
    <row r="473" spans="1:15" ht="12.45">
      <c r="A473" s="1"/>
      <c r="B473" s="1"/>
      <c r="C473" s="1"/>
      <c r="D473" s="1"/>
      <c r="E473" s="1"/>
      <c r="F473" s="1"/>
      <c r="G473" s="1"/>
      <c r="H473" s="1"/>
      <c r="I473" s="1"/>
      <c r="L473" s="22"/>
      <c r="M473" s="22"/>
      <c r="N473" s="22"/>
      <c r="O473" s="22"/>
    </row>
    <row r="474" spans="1:15" ht="12.45">
      <c r="A474" s="1"/>
      <c r="B474" s="1"/>
      <c r="C474" s="1"/>
      <c r="D474" s="1"/>
      <c r="E474" s="1"/>
      <c r="F474" s="1"/>
      <c r="G474" s="1"/>
      <c r="H474" s="1"/>
      <c r="I474" s="1"/>
      <c r="L474" s="22"/>
      <c r="M474" s="22"/>
      <c r="N474" s="22"/>
      <c r="O474" s="22"/>
    </row>
    <row r="475" spans="1:15" ht="12.45">
      <c r="A475" s="1"/>
      <c r="B475" s="1"/>
      <c r="C475" s="1"/>
      <c r="D475" s="1"/>
      <c r="E475" s="1"/>
      <c r="F475" s="1"/>
      <c r="G475" s="1"/>
      <c r="H475" s="1"/>
      <c r="I475" s="1"/>
      <c r="L475" s="22"/>
      <c r="M475" s="22"/>
      <c r="N475" s="22"/>
      <c r="O475" s="22"/>
    </row>
    <row r="476" spans="1:15" ht="12.45">
      <c r="A476" s="1"/>
      <c r="B476" s="1"/>
      <c r="C476" s="1"/>
      <c r="D476" s="1"/>
      <c r="E476" s="1"/>
      <c r="F476" s="1"/>
      <c r="G476" s="1"/>
      <c r="H476" s="1"/>
      <c r="I476" s="1"/>
      <c r="L476" s="22"/>
      <c r="M476" s="22"/>
      <c r="N476" s="22"/>
      <c r="O476" s="22"/>
    </row>
    <row r="477" spans="1:15" ht="12.45">
      <c r="A477" s="1"/>
      <c r="B477" s="1"/>
      <c r="C477" s="1"/>
      <c r="D477" s="1"/>
      <c r="E477" s="1"/>
      <c r="F477" s="1"/>
      <c r="G477" s="1"/>
      <c r="H477" s="1"/>
      <c r="I477" s="1"/>
      <c r="L477" s="22"/>
      <c r="M477" s="22"/>
      <c r="N477" s="22"/>
      <c r="O477" s="22"/>
    </row>
    <row r="478" spans="1:15" ht="12.45">
      <c r="A478" s="1"/>
      <c r="B478" s="1"/>
      <c r="C478" s="1"/>
      <c r="D478" s="1"/>
      <c r="E478" s="1"/>
      <c r="F478" s="1"/>
      <c r="G478" s="1"/>
      <c r="H478" s="1"/>
      <c r="I478" s="1"/>
      <c r="L478" s="22"/>
      <c r="M478" s="22"/>
      <c r="N478" s="22"/>
      <c r="O478" s="22"/>
    </row>
    <row r="479" spans="1:15" ht="12.45">
      <c r="A479" s="1"/>
      <c r="B479" s="1"/>
      <c r="C479" s="1"/>
      <c r="D479" s="1"/>
      <c r="E479" s="1"/>
      <c r="F479" s="1"/>
      <c r="G479" s="1"/>
      <c r="H479" s="1"/>
      <c r="I479" s="1"/>
      <c r="L479" s="22"/>
      <c r="M479" s="22"/>
      <c r="N479" s="22"/>
      <c r="O479" s="22"/>
    </row>
    <row r="480" spans="1:15" ht="12.45">
      <c r="A480" s="1"/>
      <c r="B480" s="1"/>
      <c r="C480" s="1"/>
      <c r="D480" s="1"/>
      <c r="E480" s="1"/>
      <c r="F480" s="1"/>
      <c r="G480" s="1"/>
      <c r="H480" s="1"/>
      <c r="I480" s="1"/>
      <c r="L480" s="22"/>
      <c r="M480" s="22"/>
      <c r="N480" s="22"/>
      <c r="O480" s="22"/>
    </row>
    <row r="481" spans="1:15" ht="12.45">
      <c r="A481" s="1"/>
      <c r="B481" s="1"/>
      <c r="C481" s="1"/>
      <c r="D481" s="1"/>
      <c r="E481" s="1"/>
      <c r="F481" s="1"/>
      <c r="G481" s="1"/>
      <c r="H481" s="1"/>
      <c r="I481" s="1"/>
      <c r="L481" s="22"/>
      <c r="M481" s="22"/>
      <c r="N481" s="22"/>
      <c r="O481" s="22"/>
    </row>
    <row r="482" spans="1:15" ht="12.45">
      <c r="A482" s="1"/>
      <c r="B482" s="1"/>
      <c r="C482" s="1"/>
      <c r="D482" s="1"/>
      <c r="E482" s="1"/>
      <c r="F482" s="1"/>
      <c r="G482" s="1"/>
      <c r="H482" s="1"/>
      <c r="I482" s="1"/>
      <c r="L482" s="22"/>
      <c r="M482" s="22"/>
      <c r="N482" s="22"/>
      <c r="O482" s="22"/>
    </row>
    <row r="483" spans="1:15" ht="12.45">
      <c r="A483" s="1"/>
      <c r="B483" s="1"/>
      <c r="C483" s="1"/>
      <c r="D483" s="1"/>
      <c r="E483" s="1"/>
      <c r="F483" s="1"/>
      <c r="G483" s="1"/>
      <c r="H483" s="1"/>
      <c r="I483" s="1"/>
      <c r="L483" s="22"/>
      <c r="M483" s="22"/>
      <c r="N483" s="22"/>
      <c r="O483" s="22"/>
    </row>
    <row r="484" spans="1:15" ht="12.45">
      <c r="A484" s="1"/>
      <c r="B484" s="1"/>
      <c r="C484" s="1"/>
      <c r="D484" s="1"/>
      <c r="E484" s="1"/>
      <c r="F484" s="1"/>
      <c r="G484" s="1"/>
      <c r="H484" s="1"/>
      <c r="I484" s="1"/>
      <c r="L484" s="22"/>
      <c r="M484" s="22"/>
      <c r="N484" s="22"/>
      <c r="O484" s="22"/>
    </row>
    <row r="485" spans="1:15" ht="12.45">
      <c r="A485" s="1"/>
      <c r="B485" s="1"/>
      <c r="C485" s="1"/>
      <c r="D485" s="1"/>
      <c r="E485" s="1"/>
      <c r="F485" s="1"/>
      <c r="G485" s="1"/>
      <c r="H485" s="1"/>
      <c r="I485" s="1"/>
      <c r="L485" s="22"/>
      <c r="M485" s="22"/>
      <c r="N485" s="22"/>
      <c r="O485" s="22"/>
    </row>
    <row r="486" spans="1:15" ht="12.45">
      <c r="A486" s="1"/>
      <c r="B486" s="1"/>
      <c r="C486" s="1"/>
      <c r="D486" s="1"/>
      <c r="E486" s="1"/>
      <c r="F486" s="1"/>
      <c r="G486" s="1"/>
      <c r="H486" s="1"/>
      <c r="I486" s="1"/>
      <c r="L486" s="22"/>
      <c r="M486" s="22"/>
      <c r="N486" s="22"/>
      <c r="O486" s="22"/>
    </row>
    <row r="487" spans="1:15" ht="12.45">
      <c r="A487" s="1"/>
      <c r="B487" s="1"/>
      <c r="C487" s="1"/>
      <c r="D487" s="1"/>
      <c r="E487" s="1"/>
      <c r="F487" s="1"/>
      <c r="G487" s="1"/>
      <c r="H487" s="1"/>
      <c r="I487" s="1"/>
      <c r="L487" s="22"/>
      <c r="M487" s="22"/>
      <c r="N487" s="22"/>
      <c r="O487" s="22"/>
    </row>
    <row r="488" spans="1:15" ht="12.45">
      <c r="A488" s="1"/>
      <c r="B488" s="1"/>
      <c r="C488" s="1"/>
      <c r="D488" s="1"/>
      <c r="E488" s="1"/>
      <c r="F488" s="1"/>
      <c r="G488" s="1"/>
      <c r="H488" s="1"/>
      <c r="I488" s="1"/>
      <c r="L488" s="22"/>
      <c r="M488" s="22"/>
      <c r="N488" s="22"/>
      <c r="O488" s="22"/>
    </row>
    <row r="489" spans="1:15" ht="12.45">
      <c r="A489" s="1"/>
      <c r="B489" s="1"/>
      <c r="C489" s="1"/>
      <c r="D489" s="1"/>
      <c r="E489" s="1"/>
      <c r="F489" s="1"/>
      <c r="G489" s="1"/>
      <c r="H489" s="1"/>
      <c r="I489" s="1"/>
      <c r="L489" s="22"/>
      <c r="M489" s="22"/>
      <c r="N489" s="22"/>
      <c r="O489" s="22"/>
    </row>
    <row r="490" spans="1:15" ht="12.45">
      <c r="A490" s="1"/>
      <c r="B490" s="1"/>
      <c r="C490" s="1"/>
      <c r="D490" s="1"/>
      <c r="E490" s="1"/>
      <c r="F490" s="1"/>
      <c r="G490" s="1"/>
      <c r="H490" s="1"/>
      <c r="I490" s="1"/>
      <c r="L490" s="22"/>
      <c r="M490" s="22"/>
      <c r="N490" s="22"/>
      <c r="O490" s="22"/>
    </row>
    <row r="491" spans="1:15" ht="12.45">
      <c r="A491" s="1"/>
      <c r="B491" s="1"/>
      <c r="C491" s="1"/>
      <c r="D491" s="1"/>
      <c r="E491" s="1"/>
      <c r="F491" s="1"/>
      <c r="G491" s="1"/>
      <c r="H491" s="1"/>
      <c r="I491" s="1"/>
      <c r="L491" s="22"/>
      <c r="M491" s="22"/>
      <c r="N491" s="22"/>
      <c r="O491" s="22"/>
    </row>
    <row r="492" spans="1:15" ht="12.45">
      <c r="A492" s="1"/>
      <c r="B492" s="1"/>
      <c r="C492" s="1"/>
      <c r="D492" s="1"/>
      <c r="E492" s="1"/>
      <c r="F492" s="1"/>
      <c r="G492" s="1"/>
      <c r="H492" s="1"/>
      <c r="I492" s="1"/>
      <c r="L492" s="22"/>
      <c r="M492" s="22"/>
      <c r="N492" s="22"/>
      <c r="O492" s="22"/>
    </row>
    <row r="493" spans="1:15" ht="12.45">
      <c r="A493" s="1"/>
      <c r="B493" s="1"/>
      <c r="C493" s="1"/>
      <c r="D493" s="1"/>
      <c r="E493" s="1"/>
      <c r="F493" s="1"/>
      <c r="G493" s="1"/>
      <c r="H493" s="1"/>
      <c r="I493" s="1"/>
      <c r="L493" s="22"/>
      <c r="M493" s="22"/>
      <c r="N493" s="22"/>
      <c r="O493" s="22"/>
    </row>
    <row r="494" spans="1:15" ht="12.45">
      <c r="A494" s="1"/>
      <c r="B494" s="1"/>
      <c r="C494" s="1"/>
      <c r="D494" s="1"/>
      <c r="E494" s="1"/>
      <c r="F494" s="1"/>
      <c r="G494" s="1"/>
      <c r="H494" s="1"/>
      <c r="I494" s="1"/>
      <c r="L494" s="22"/>
      <c r="M494" s="22"/>
      <c r="N494" s="22"/>
      <c r="O494" s="22"/>
    </row>
    <row r="495" spans="1:15" ht="12.45">
      <c r="A495" s="1"/>
      <c r="B495" s="1"/>
      <c r="C495" s="1"/>
      <c r="D495" s="1"/>
      <c r="E495" s="1"/>
      <c r="F495" s="1"/>
      <c r="G495" s="1"/>
      <c r="H495" s="1"/>
      <c r="I495" s="1"/>
      <c r="L495" s="22"/>
      <c r="M495" s="22"/>
      <c r="N495" s="22"/>
      <c r="O495" s="22"/>
    </row>
    <row r="496" spans="1:15" ht="12.45">
      <c r="A496" s="1"/>
      <c r="B496" s="1"/>
      <c r="C496" s="1"/>
      <c r="D496" s="1"/>
      <c r="E496" s="1"/>
      <c r="F496" s="1"/>
      <c r="G496" s="1"/>
      <c r="H496" s="1"/>
      <c r="I496" s="1"/>
      <c r="L496" s="22"/>
      <c r="M496" s="22"/>
      <c r="N496" s="22"/>
      <c r="O496" s="22"/>
    </row>
    <row r="497" spans="1:15" ht="12.45">
      <c r="A497" s="1"/>
      <c r="B497" s="1"/>
      <c r="C497" s="1"/>
      <c r="D497" s="1"/>
      <c r="E497" s="1"/>
      <c r="F497" s="1"/>
      <c r="G497" s="1"/>
      <c r="H497" s="1"/>
      <c r="I497" s="1"/>
      <c r="L497" s="22"/>
      <c r="M497" s="22"/>
      <c r="N497" s="22"/>
      <c r="O497" s="22"/>
    </row>
    <row r="498" spans="1:15" ht="12.45">
      <c r="A498" s="1"/>
      <c r="B498" s="1"/>
      <c r="C498" s="1"/>
      <c r="D498" s="1"/>
      <c r="E498" s="1"/>
      <c r="F498" s="1"/>
      <c r="G498" s="1"/>
      <c r="H498" s="1"/>
      <c r="I498" s="1"/>
      <c r="L498" s="22"/>
      <c r="M498" s="22"/>
      <c r="N498" s="22"/>
      <c r="O498" s="22"/>
    </row>
    <row r="499" spans="1:15" ht="12.45">
      <c r="A499" s="1"/>
      <c r="B499" s="1"/>
      <c r="C499" s="1"/>
      <c r="D499" s="1"/>
      <c r="E499" s="1"/>
      <c r="F499" s="1"/>
      <c r="G499" s="1"/>
      <c r="H499" s="1"/>
      <c r="I499" s="1"/>
      <c r="L499" s="22"/>
      <c r="M499" s="22"/>
      <c r="N499" s="22"/>
      <c r="O499" s="22"/>
    </row>
    <row r="500" spans="1:15" ht="12.45">
      <c r="A500" s="1"/>
      <c r="B500" s="1"/>
      <c r="C500" s="1"/>
      <c r="D500" s="1"/>
      <c r="E500" s="1"/>
      <c r="F500" s="1"/>
      <c r="G500" s="1"/>
      <c r="H500" s="1"/>
      <c r="I500" s="1"/>
      <c r="L500" s="22"/>
      <c r="M500" s="22"/>
      <c r="N500" s="22"/>
      <c r="O500" s="22"/>
    </row>
    <row r="501" spans="1:15" ht="12.45">
      <c r="A501" s="1"/>
      <c r="B501" s="1"/>
      <c r="C501" s="1"/>
      <c r="D501" s="1"/>
      <c r="E501" s="1"/>
      <c r="F501" s="1"/>
      <c r="G501" s="1"/>
      <c r="H501" s="1"/>
      <c r="I501" s="1"/>
      <c r="L501" s="22"/>
      <c r="M501" s="22"/>
      <c r="N501" s="22"/>
      <c r="O501" s="22"/>
    </row>
    <row r="502" spans="1:15" ht="12.45">
      <c r="A502" s="1"/>
      <c r="B502" s="1"/>
      <c r="C502" s="1"/>
      <c r="D502" s="1"/>
      <c r="E502" s="1"/>
      <c r="F502" s="1"/>
      <c r="G502" s="1"/>
      <c r="H502" s="1"/>
      <c r="I502" s="1"/>
      <c r="L502" s="22"/>
      <c r="M502" s="22"/>
      <c r="N502" s="22"/>
      <c r="O502" s="22"/>
    </row>
    <row r="503" spans="1:15" ht="12.45">
      <c r="A503" s="1"/>
      <c r="B503" s="1"/>
      <c r="C503" s="1"/>
      <c r="D503" s="1"/>
      <c r="E503" s="1"/>
      <c r="F503" s="1"/>
      <c r="G503" s="1"/>
      <c r="H503" s="1"/>
      <c r="I503" s="1"/>
      <c r="L503" s="22"/>
      <c r="M503" s="22"/>
      <c r="N503" s="22"/>
      <c r="O503" s="22"/>
    </row>
    <row r="504" spans="1:15" ht="12.45">
      <c r="A504" s="1"/>
      <c r="B504" s="1"/>
      <c r="C504" s="1"/>
      <c r="D504" s="1"/>
      <c r="E504" s="1"/>
      <c r="F504" s="1"/>
      <c r="G504" s="1"/>
      <c r="H504" s="1"/>
      <c r="I504" s="1"/>
      <c r="L504" s="22"/>
      <c r="M504" s="22"/>
      <c r="N504" s="22"/>
      <c r="O504" s="22"/>
    </row>
    <row r="505" spans="1:15" ht="12.45">
      <c r="A505" s="1"/>
      <c r="B505" s="1"/>
      <c r="C505" s="1"/>
      <c r="D505" s="1"/>
      <c r="E505" s="1"/>
      <c r="F505" s="1"/>
      <c r="G505" s="1"/>
      <c r="H505" s="1"/>
      <c r="I505" s="1"/>
      <c r="L505" s="22"/>
      <c r="M505" s="22"/>
      <c r="N505" s="22"/>
      <c r="O505" s="22"/>
    </row>
    <row r="506" spans="1:15" ht="12.45">
      <c r="A506" s="1"/>
      <c r="B506" s="1"/>
      <c r="C506" s="1"/>
      <c r="D506" s="1"/>
      <c r="E506" s="1"/>
      <c r="F506" s="1"/>
      <c r="G506" s="1"/>
      <c r="H506" s="1"/>
      <c r="I506" s="1"/>
      <c r="L506" s="22"/>
      <c r="M506" s="22"/>
      <c r="N506" s="22"/>
      <c r="O506" s="22"/>
    </row>
    <row r="507" spans="1:15" ht="12.45">
      <c r="A507" s="1"/>
      <c r="B507" s="1"/>
      <c r="C507" s="1"/>
      <c r="D507" s="1"/>
      <c r="E507" s="1"/>
      <c r="F507" s="1"/>
      <c r="G507" s="1"/>
      <c r="H507" s="1"/>
      <c r="I507" s="1"/>
      <c r="L507" s="22"/>
      <c r="M507" s="22"/>
      <c r="N507" s="22"/>
      <c r="O507" s="22"/>
    </row>
    <row r="508" spans="1:15" ht="12.45">
      <c r="A508" s="1"/>
      <c r="B508" s="1"/>
      <c r="C508" s="1"/>
      <c r="D508" s="1"/>
      <c r="E508" s="1"/>
      <c r="F508" s="1"/>
      <c r="G508" s="1"/>
      <c r="H508" s="1"/>
      <c r="I508" s="1"/>
      <c r="L508" s="22"/>
      <c r="M508" s="22"/>
      <c r="N508" s="22"/>
      <c r="O508" s="22"/>
    </row>
    <row r="509" spans="1:15" ht="12.45">
      <c r="A509" s="1"/>
      <c r="B509" s="1"/>
      <c r="C509" s="1"/>
      <c r="D509" s="1"/>
      <c r="E509" s="1"/>
      <c r="F509" s="1"/>
      <c r="G509" s="1"/>
      <c r="H509" s="1"/>
      <c r="I509" s="1"/>
      <c r="L509" s="22"/>
      <c r="M509" s="22"/>
      <c r="N509" s="22"/>
      <c r="O509" s="22"/>
    </row>
    <row r="510" spans="1:15" ht="12.45">
      <c r="A510" s="1"/>
      <c r="B510" s="1"/>
      <c r="C510" s="1"/>
      <c r="D510" s="1"/>
      <c r="E510" s="1"/>
      <c r="F510" s="1"/>
      <c r="G510" s="1"/>
      <c r="H510" s="1"/>
      <c r="I510" s="1"/>
      <c r="L510" s="22"/>
      <c r="M510" s="22"/>
      <c r="N510" s="22"/>
      <c r="O510" s="22"/>
    </row>
    <row r="511" spans="1:15" ht="12.45">
      <c r="A511" s="1"/>
      <c r="B511" s="1"/>
      <c r="C511" s="1"/>
      <c r="D511" s="1"/>
      <c r="E511" s="1"/>
      <c r="F511" s="1"/>
      <c r="G511" s="1"/>
      <c r="H511" s="1"/>
      <c r="I511" s="1"/>
      <c r="L511" s="22"/>
      <c r="M511" s="22"/>
      <c r="N511" s="22"/>
      <c r="O511" s="22"/>
    </row>
    <row r="512" spans="1:15" ht="12.45">
      <c r="A512" s="1"/>
      <c r="B512" s="1"/>
      <c r="C512" s="1"/>
      <c r="D512" s="1"/>
      <c r="E512" s="1"/>
      <c r="F512" s="1"/>
      <c r="G512" s="1"/>
      <c r="H512" s="1"/>
      <c r="I512" s="1"/>
      <c r="L512" s="22"/>
      <c r="M512" s="22"/>
      <c r="N512" s="22"/>
      <c r="O512" s="22"/>
    </row>
    <row r="513" spans="1:15" ht="12.45">
      <c r="A513" s="1"/>
      <c r="B513" s="1"/>
      <c r="C513" s="1"/>
      <c r="D513" s="1"/>
      <c r="E513" s="1"/>
      <c r="F513" s="1"/>
      <c r="G513" s="1"/>
      <c r="H513" s="1"/>
      <c r="I513" s="1"/>
      <c r="L513" s="22"/>
      <c r="M513" s="22"/>
      <c r="N513" s="22"/>
      <c r="O513" s="22"/>
    </row>
    <row r="514" spans="1:15" ht="12.45">
      <c r="A514" s="1"/>
      <c r="B514" s="1"/>
      <c r="C514" s="1"/>
      <c r="D514" s="1"/>
      <c r="E514" s="1"/>
      <c r="F514" s="1"/>
      <c r="G514" s="1"/>
      <c r="H514" s="1"/>
      <c r="I514" s="1"/>
      <c r="L514" s="22"/>
      <c r="M514" s="22"/>
      <c r="N514" s="22"/>
      <c r="O514" s="22"/>
    </row>
    <row r="515" spans="1:15" ht="12.45">
      <c r="A515" s="1"/>
      <c r="B515" s="1"/>
      <c r="C515" s="1"/>
      <c r="D515" s="1"/>
      <c r="E515" s="1"/>
      <c r="F515" s="1"/>
      <c r="G515" s="1"/>
      <c r="H515" s="1"/>
      <c r="I515" s="1"/>
      <c r="L515" s="22"/>
      <c r="M515" s="22"/>
      <c r="N515" s="22"/>
      <c r="O515" s="22"/>
    </row>
    <row r="516" spans="1:15" ht="12.45">
      <c r="A516" s="1"/>
      <c r="B516" s="1"/>
      <c r="C516" s="1"/>
      <c r="D516" s="1"/>
      <c r="E516" s="1"/>
      <c r="F516" s="1"/>
      <c r="G516" s="1"/>
      <c r="H516" s="1"/>
      <c r="I516" s="1"/>
      <c r="L516" s="22"/>
      <c r="M516" s="22"/>
      <c r="N516" s="22"/>
      <c r="O516" s="22"/>
    </row>
    <row r="517" spans="1:15" ht="12.45">
      <c r="A517" s="1"/>
      <c r="B517" s="1"/>
      <c r="C517" s="1"/>
      <c r="D517" s="1"/>
      <c r="E517" s="1"/>
      <c r="F517" s="1"/>
      <c r="G517" s="1"/>
      <c r="H517" s="1"/>
      <c r="I517" s="1"/>
      <c r="L517" s="22"/>
      <c r="M517" s="22"/>
      <c r="N517" s="22"/>
      <c r="O517" s="22"/>
    </row>
    <row r="518" spans="1:15" ht="12.45">
      <c r="A518" s="1"/>
      <c r="B518" s="1"/>
      <c r="C518" s="1"/>
      <c r="D518" s="1"/>
      <c r="E518" s="1"/>
      <c r="F518" s="1"/>
      <c r="G518" s="1"/>
      <c r="H518" s="1"/>
      <c r="I518" s="1"/>
      <c r="L518" s="22"/>
      <c r="M518" s="22"/>
      <c r="N518" s="22"/>
      <c r="O518" s="22"/>
    </row>
    <row r="519" spans="1:15" ht="12.45">
      <c r="A519" s="1"/>
      <c r="B519" s="1"/>
      <c r="C519" s="1"/>
      <c r="D519" s="1"/>
      <c r="E519" s="1"/>
      <c r="F519" s="1"/>
      <c r="G519" s="1"/>
      <c r="H519" s="1"/>
      <c r="I519" s="1"/>
      <c r="L519" s="22"/>
      <c r="M519" s="22"/>
      <c r="N519" s="22"/>
      <c r="O519" s="22"/>
    </row>
    <row r="520" spans="1:15" ht="12.45">
      <c r="A520" s="1"/>
      <c r="B520" s="1"/>
      <c r="C520" s="1"/>
      <c r="D520" s="1"/>
      <c r="E520" s="1"/>
      <c r="F520" s="1"/>
      <c r="G520" s="1"/>
      <c r="H520" s="1"/>
      <c r="I520" s="1"/>
      <c r="L520" s="22"/>
      <c r="M520" s="22"/>
      <c r="N520" s="22"/>
      <c r="O520" s="22"/>
    </row>
    <row r="521" spans="1:15" ht="12.45">
      <c r="A521" s="1"/>
      <c r="B521" s="1"/>
      <c r="C521" s="1"/>
      <c r="D521" s="1"/>
      <c r="E521" s="1"/>
      <c r="F521" s="1"/>
      <c r="G521" s="1"/>
      <c r="H521" s="1"/>
      <c r="I521" s="1"/>
      <c r="L521" s="22"/>
      <c r="M521" s="22"/>
      <c r="N521" s="22"/>
      <c r="O521" s="22"/>
    </row>
    <row r="522" spans="1:15" ht="12.45">
      <c r="A522" s="1"/>
      <c r="B522" s="1"/>
      <c r="C522" s="1"/>
      <c r="D522" s="1"/>
      <c r="E522" s="1"/>
      <c r="F522" s="1"/>
      <c r="G522" s="1"/>
      <c r="H522" s="1"/>
      <c r="I522" s="1"/>
      <c r="L522" s="22"/>
      <c r="M522" s="22"/>
      <c r="N522" s="22"/>
      <c r="O522" s="22"/>
    </row>
    <row r="523" spans="1:15" ht="12.45">
      <c r="A523" s="1"/>
      <c r="B523" s="1"/>
      <c r="C523" s="1"/>
      <c r="D523" s="1"/>
      <c r="E523" s="1"/>
      <c r="F523" s="1"/>
      <c r="G523" s="1"/>
      <c r="H523" s="1"/>
      <c r="I523" s="1"/>
      <c r="L523" s="22"/>
      <c r="M523" s="22"/>
      <c r="N523" s="22"/>
      <c r="O523" s="22"/>
    </row>
    <row r="524" spans="1:15" ht="12.45">
      <c r="A524" s="1"/>
      <c r="B524" s="1"/>
      <c r="C524" s="1"/>
      <c r="D524" s="1"/>
      <c r="E524" s="1"/>
      <c r="F524" s="1"/>
      <c r="G524" s="1"/>
      <c r="H524" s="1"/>
      <c r="I524" s="1"/>
      <c r="L524" s="22"/>
      <c r="M524" s="22"/>
      <c r="N524" s="22"/>
      <c r="O524" s="22"/>
    </row>
    <row r="525" spans="1:15" ht="12.45">
      <c r="A525" s="1"/>
      <c r="B525" s="1"/>
      <c r="C525" s="1"/>
      <c r="D525" s="1"/>
      <c r="E525" s="1"/>
      <c r="F525" s="1"/>
      <c r="G525" s="1"/>
      <c r="H525" s="1"/>
      <c r="I525" s="1"/>
      <c r="L525" s="22"/>
      <c r="M525" s="22"/>
      <c r="N525" s="22"/>
      <c r="O525" s="22"/>
    </row>
    <row r="526" spans="1:15" ht="12.45">
      <c r="A526" s="1"/>
      <c r="B526" s="1"/>
      <c r="C526" s="1"/>
      <c r="D526" s="1"/>
      <c r="E526" s="1"/>
      <c r="F526" s="1"/>
      <c r="G526" s="1"/>
      <c r="H526" s="1"/>
      <c r="I526" s="1"/>
      <c r="L526" s="22"/>
      <c r="M526" s="22"/>
      <c r="N526" s="22"/>
      <c r="O526" s="22"/>
    </row>
    <row r="527" spans="1:15" ht="12.45">
      <c r="A527" s="1"/>
      <c r="B527" s="1"/>
      <c r="C527" s="1"/>
      <c r="D527" s="1"/>
      <c r="E527" s="1"/>
      <c r="F527" s="1"/>
      <c r="G527" s="1"/>
      <c r="H527" s="1"/>
      <c r="I527" s="1"/>
      <c r="L527" s="22"/>
      <c r="M527" s="22"/>
      <c r="N527" s="22"/>
      <c r="O527" s="22"/>
    </row>
    <row r="528" spans="1:15" ht="12.45">
      <c r="A528" s="1"/>
      <c r="B528" s="1"/>
      <c r="C528" s="1"/>
      <c r="D528" s="1"/>
      <c r="E528" s="1"/>
      <c r="F528" s="1"/>
      <c r="G528" s="1"/>
      <c r="H528" s="1"/>
      <c r="I528" s="1"/>
      <c r="L528" s="22"/>
      <c r="M528" s="22"/>
      <c r="N528" s="22"/>
      <c r="O528" s="22"/>
    </row>
    <row r="529" spans="1:15" ht="12.45">
      <c r="A529" s="1"/>
      <c r="B529" s="1"/>
      <c r="C529" s="1"/>
      <c r="D529" s="1"/>
      <c r="E529" s="1"/>
      <c r="F529" s="1"/>
      <c r="G529" s="1"/>
      <c r="H529" s="1"/>
      <c r="I529" s="1"/>
      <c r="L529" s="22"/>
      <c r="M529" s="22"/>
      <c r="N529" s="22"/>
      <c r="O529" s="22"/>
    </row>
    <row r="530" spans="1:15" ht="12.45">
      <c r="A530" s="1"/>
      <c r="B530" s="1"/>
      <c r="C530" s="1"/>
      <c r="D530" s="1"/>
      <c r="E530" s="1"/>
      <c r="F530" s="1"/>
      <c r="G530" s="1"/>
      <c r="H530" s="1"/>
      <c r="I530" s="1"/>
      <c r="L530" s="22"/>
      <c r="M530" s="22"/>
      <c r="N530" s="22"/>
      <c r="O530" s="22"/>
    </row>
    <row r="531" spans="1:15" ht="12.45">
      <c r="A531" s="1"/>
      <c r="B531" s="1"/>
      <c r="C531" s="1"/>
      <c r="D531" s="1"/>
      <c r="E531" s="1"/>
      <c r="F531" s="1"/>
      <c r="G531" s="1"/>
      <c r="H531" s="1"/>
      <c r="I531" s="1"/>
      <c r="L531" s="22"/>
      <c r="M531" s="22"/>
      <c r="N531" s="22"/>
      <c r="O531" s="22"/>
    </row>
    <row r="532" spans="1:15" ht="12.45">
      <c r="A532" s="1"/>
      <c r="B532" s="1"/>
      <c r="C532" s="1"/>
      <c r="D532" s="1"/>
      <c r="E532" s="1"/>
      <c r="F532" s="1"/>
      <c r="G532" s="1"/>
      <c r="H532" s="1"/>
      <c r="I532" s="1"/>
      <c r="L532" s="22"/>
      <c r="M532" s="22"/>
      <c r="N532" s="22"/>
      <c r="O532" s="22"/>
    </row>
    <row r="533" spans="1:15" ht="12.45">
      <c r="A533" s="1"/>
      <c r="B533" s="1"/>
      <c r="C533" s="1"/>
      <c r="D533" s="1"/>
      <c r="E533" s="1"/>
      <c r="F533" s="1"/>
      <c r="G533" s="1"/>
      <c r="H533" s="1"/>
      <c r="I533" s="1"/>
      <c r="L533" s="22"/>
      <c r="M533" s="22"/>
      <c r="N533" s="22"/>
      <c r="O533" s="22"/>
    </row>
    <row r="534" spans="1:15" ht="12.45">
      <c r="A534" s="1"/>
      <c r="B534" s="1"/>
      <c r="C534" s="1"/>
      <c r="D534" s="1"/>
      <c r="E534" s="1"/>
      <c r="F534" s="1"/>
      <c r="G534" s="1"/>
      <c r="H534" s="1"/>
      <c r="I534" s="1"/>
      <c r="L534" s="22"/>
      <c r="M534" s="22"/>
      <c r="N534" s="22"/>
      <c r="O534" s="22"/>
    </row>
    <row r="535" spans="1:15" ht="12.45">
      <c r="A535" s="1"/>
      <c r="B535" s="1"/>
      <c r="C535" s="1"/>
      <c r="D535" s="1"/>
      <c r="E535" s="1"/>
      <c r="F535" s="1"/>
      <c r="G535" s="1"/>
      <c r="H535" s="1"/>
      <c r="I535" s="1"/>
      <c r="L535" s="22"/>
      <c r="M535" s="22"/>
      <c r="N535" s="22"/>
      <c r="O535" s="22"/>
    </row>
    <row r="536" spans="1:15" ht="12.45">
      <c r="A536" s="1"/>
      <c r="B536" s="1"/>
      <c r="C536" s="1"/>
      <c r="D536" s="1"/>
      <c r="E536" s="1"/>
      <c r="F536" s="1"/>
      <c r="G536" s="1"/>
      <c r="H536" s="1"/>
      <c r="I536" s="1"/>
      <c r="L536" s="22"/>
      <c r="M536" s="22"/>
      <c r="N536" s="22"/>
      <c r="O536" s="22"/>
    </row>
    <row r="537" spans="1:15" ht="12.45">
      <c r="A537" s="1"/>
      <c r="B537" s="1"/>
      <c r="C537" s="1"/>
      <c r="D537" s="1"/>
      <c r="E537" s="1"/>
      <c r="F537" s="1"/>
      <c r="G537" s="1"/>
      <c r="H537" s="1"/>
      <c r="I537" s="1"/>
      <c r="L537" s="22"/>
      <c r="M537" s="22"/>
      <c r="N537" s="22"/>
      <c r="O537" s="22"/>
    </row>
    <row r="538" spans="1:15" ht="12.45">
      <c r="A538" s="1"/>
      <c r="B538" s="1"/>
      <c r="C538" s="1"/>
      <c r="D538" s="1"/>
      <c r="E538" s="1"/>
      <c r="F538" s="1"/>
      <c r="G538" s="1"/>
      <c r="H538" s="1"/>
      <c r="I538" s="1"/>
      <c r="L538" s="22"/>
      <c r="M538" s="22"/>
      <c r="N538" s="22"/>
      <c r="O538" s="22"/>
    </row>
  </sheetData>
  <mergeCells count="2">
    <mergeCell ref="B23:J23"/>
    <mergeCell ref="B24:J24"/>
  </mergeCells>
  <conditionalFormatting sqref="A27:A538 B147:I538">
    <cfRule type="containsBlanks" dxfId="0" priority="1">
      <formula>LEN(TRIM(A27))=0</formula>
    </cfRule>
  </conditionalFormatting>
  <hyperlinks>
    <hyperlink ref="B24" r:id="rId1" xr:uid="{00000000-0004-0000-0100-000000000000}"/>
    <hyperlink ref="M28" r:id="rId2" display="https://9fin.com/company/CrossCountry/overview" xr:uid="{00000000-0004-0000-0100-000001000000}"/>
    <hyperlink ref="O28" r:id="rId3" display="https://9fin.com/news/682cfdc5-4e0f-4a32-92ea-db457841f6e8" xr:uid="{00000000-0004-0000-0100-000002000000}"/>
    <hyperlink ref="M29" r:id="rId4" display="https://9fin.com/company/Integer Holdings/overview" xr:uid="{00000000-0004-0000-0100-000003000000}"/>
    <hyperlink ref="O29" r:id="rId5" display="https://sec.9fin.com/Archives/edgar/data/1114483/000095010326011683/dp251107_ex9901.htm" xr:uid="{00000000-0004-0000-0100-000004000000}"/>
    <hyperlink ref="M30" r:id="rId6" display="https://9fin.com/company/Group 1 Automotive/overview" xr:uid="{00000000-0004-0000-0100-000005000000}"/>
    <hyperlink ref="O30" r:id="rId7" display="https://www.prnewswire.com/news-releases/group-1-agrees-to-acquire-hennessy-automobile-dealerships-in-the-atlanta-market-to-advance-proven-cluster-strategy-302838323.html" xr:uid="{00000000-0004-0000-0100-000006000000}"/>
    <hyperlink ref="M31" r:id="rId8" display="https://9fin.com/company/PANTHERx Rare/overview" xr:uid="{00000000-0004-0000-0100-000007000000}"/>
    <hyperlink ref="O31" r:id="rId9" display="https://9fin.com/news/jpm-goldman-prep-financing-for-warburg-lbo-of-pantherx-rare-9fin-2026-07-15" xr:uid="{00000000-0004-0000-0100-000008000000}"/>
    <hyperlink ref="M32" r:id="rId10" display="https://9fin.com/company/BGIS/overview" xr:uid="{00000000-0004-0000-0100-000009000000}"/>
    <hyperlink ref="O32" r:id="rId11" display="https://9fin.com/news/citi-to-lead-financing-for-veritas-bgis-buyout-9fin-2026-07-21" xr:uid="{00000000-0004-0000-0100-00000A000000}"/>
    <hyperlink ref="M33" r:id="rId12" display="https://9fin.com/company/Solstice Advanced Materials/overview" xr:uid="{00000000-0004-0000-0100-00000B000000}"/>
    <hyperlink ref="O33" r:id="rId13" display="https://www.prnewswire.com/news-releases/solstice-advanced-materials-to-acquire-element-solutions-creating-an-industry-leading-advanced-materials-platform-aligned-to-serving-attractive-secular-growth-markets-302818329.html" xr:uid="{00000000-0004-0000-0100-00000C000000}"/>
    <hyperlink ref="M34" r:id="rId14" display="https://9fin.com/company/Alcoa/overview" xr:uid="{00000000-0004-0000-0100-00000D000000}"/>
    <hyperlink ref="O34" r:id="rId15" display="https://sec.9fin.com/Archives/edgar/data/1675149/000095010326009899/dp249366_8k-pr.htm" xr:uid="{00000000-0004-0000-0100-00000E000000}"/>
    <hyperlink ref="O35" r:id="rId16" display="https://investors.rocketlabcorp.com/news-releases/news-release-details/rocket-lab-acquire-iridium-historic-deal-creating-fully" xr:uid="{00000000-0004-0000-0100-00000F000000}"/>
    <hyperlink ref="M36" r:id="rId17" display="https://9fin.com/company/Matador Resources/overview" xr:uid="{00000000-0004-0000-0100-000010000000}"/>
    <hyperlink ref="O36" r:id="rId18" display="https://www.matadorresources.com/news-releases/news-release-details/matador-resources-company-announces-expansion-san-mateos" xr:uid="{00000000-0004-0000-0100-000011000000}"/>
    <hyperlink ref="M37" r:id="rId19" display="https://9fin.com/company/H.B. Fuller/overview" xr:uid="{00000000-0004-0000-0100-000012000000}"/>
    <hyperlink ref="O37" r:id="rId20" display="https://sec.9fin.com/Archives/edgar/data/39368/000143774926021844/ex_981232.htm" xr:uid="{00000000-0004-0000-0100-000013000000}"/>
    <hyperlink ref="M38" r:id="rId21" display="https://9fin.com/company/MDA Space/overview" xr:uid="{00000000-0004-0000-0100-000014000000}"/>
    <hyperlink ref="O38" r:id="rId22" display="https://www.prnewswire.com/news-releases/mda-space-announces-definitive-agreement-to-acquire-us-based-blue-canyon-technologies-llc-302805305.html" xr:uid="{00000000-0004-0000-0100-000015000000}"/>
    <hyperlink ref="M39" r:id="rId23" display="https://9fin.com/company/Deluxe Corporation/overview" xr:uid="{00000000-0004-0000-0100-000016000000}"/>
    <hyperlink ref="O39" r:id="rId24" display="https://sec.9fin.com/Archives/edgar/data/27996/000110465926075414/tm2618004d1_ex99-1.htm" xr:uid="{00000000-0004-0000-0100-000017000000}"/>
    <hyperlink ref="M40" r:id="rId25" display="https://9fin.com/company/Nuvei/overview" xr:uid="{00000000-0004-0000-0100-000018000000}"/>
    <hyperlink ref="O40" r:id="rId26" display="https://9fin.com/news/bmo-to-lead-financing-for-payoneer-take-private-9fin-2026-07-17" xr:uid="{00000000-0004-0000-0100-000019000000}"/>
    <hyperlink ref="M41" r:id="rId27" display="https://9fin.com/company/Knack RCM/overview" xr:uid="{00000000-0004-0000-0100-00001A000000}"/>
    <hyperlink ref="O41" r:id="rId28" display="https://9fin.com/news/b093bee8-5f1d-4e3d-88f7-5921cca2ace3" xr:uid="{00000000-0004-0000-0100-00001B000000}"/>
    <hyperlink ref="M42" r:id="rId29" display="https://9fin.com/company/Lattice Semiconductor/overview" xr:uid="{00000000-0004-0000-0100-00001C000000}"/>
    <hyperlink ref="O42" r:id="rId30" display="https://sec.9fin.com/Archives/edgar/data/855658/000143774926014686/lscc20260404_10q.htm" xr:uid="{00000000-0004-0000-0100-00001D000000}"/>
    <hyperlink ref="O43" r:id="rId31" display="https://www.businesswire.com/news/home/20260426359658/en/Real-to-Acquire-REMAX-Creating-a-Leading-Technology-Enabled-Global-Real-Estate-Platform" xr:uid="{00000000-0004-0000-0100-00001E000000}"/>
    <hyperlink ref="O44" r:id="rId32" display="https://www.bloomberg.com/news/articles/2026-04-27/banks-to-join-bmo-led-1-8-billion-debt-deal-for-honeywell-spinoff" xr:uid="{00000000-0004-0000-0100-00001F000000}"/>
    <hyperlink ref="O45" r:id="rId33" display="https://ir.aresmgmt.com/news/whitestone-reit-to-be-acquired-by-ares-for-dollar17-billion/23f560f3-d09b-4680-84f9-692c6effb29a" xr:uid="{00000000-0004-0000-0100-000020000000}"/>
    <hyperlink ref="M46" r:id="rId34" display="https://9fin.com/company/Fertitta Entertainment/overview" xr:uid="{00000000-0004-0000-0100-000021000000}"/>
    <hyperlink ref="O46" r:id="rId35" display="https://9fin.com/news/15333780-3928-4008-99bd-f3dde82ddc85" xr:uid="{00000000-0004-0000-0100-000022000000}"/>
    <hyperlink ref="M47" r:id="rId36" display="https://9fin.com/company/Star Bulk/overview" xr:uid="{00000000-0004-0000-0100-000023000000}"/>
    <hyperlink ref="O47" r:id="rId37" display="https://www.globenewswire.com/news-release/2026/03/06/3251093/0/en/Star-Bulk-to-Acquire-16-Vessels-from-Diana-Shipping-Inc-Conditional-Upon-the-Success-of-Its-Offer-to-Acquire-Genco-Shipping-Trading-Ltd.html" xr:uid="{00000000-0004-0000-0100-000024000000}"/>
    <hyperlink ref="M48" r:id="rId38" display="https://9fin.com/company/Paramount Global/overview" xr:uid="{00000000-0004-0000-0100-000025000000}"/>
    <hyperlink ref="O48" r:id="rId39" display="https://sec.9fin.com/Archives/edgar/data/2041610/000110465926021911/tm2533570d75_8k.htm" xr:uid="{00000000-0004-0000-0100-000026000000}"/>
    <hyperlink ref="M49" r:id="rId40" display="https://9fin.com/company/Brink's/overview" xr:uid="{00000000-0004-0000-0100-000027000000}"/>
    <hyperlink ref="O49" r:id="rId41" display="https://investor.ncratleos.com/news-events/press-releases/detail/174/brinks-to-acquire-ncr-atleos-for-6-6-billion-creating-leading-financial-technology-infrastructure-company" xr:uid="{00000000-0004-0000-0100-000028000000}"/>
    <hyperlink ref="O50" r:id="rId42" display="https://www.kinderhook.com/press-release/enhabit-to-be-acquired-by-kinderhook-industries/" xr:uid="{00000000-0004-0000-0100-000029000000}"/>
    <hyperlink ref="M51" r:id="rId43" display="https://9fin.com/company/Mack-Cali Realty/overview" xr:uid="{00000000-0004-0000-0100-00002A000000}"/>
    <hyperlink ref="O51" r:id="rId44" display="https://sec.9fin.com/Archives/edgar/data/924901/000110465926018349/tm267019d1_8k.htm" xr:uid="{00000000-0004-0000-0100-00002B000000}"/>
    <hyperlink ref="O52" r:id="rId45" display="https://investor.gldd.com/news-releases/news-release-details/great-lakes-dredge-dock-join-saltchuk-family-companies" xr:uid="{00000000-0004-0000-0100-00002C000000}"/>
    <hyperlink ref="M53" r:id="rId46" display="https://9fin.com/company/Talen Energy/overview" xr:uid="{00000000-0004-0000-0100-00002D000000}"/>
    <hyperlink ref="O53" r:id="rId47" display="https://sec.9fin.com/Archives/edgar/data/1622536/000162253626000004/tln-20260115.htm" xr:uid="{00000000-0004-0000-0100-00002E000000}"/>
    <hyperlink ref="M54" r:id="rId48" display="https://9fin.com/company/Sparklight (Cable One)/overview" xr:uid="{00000000-0004-0000-0100-00002F000000}"/>
    <hyperlink ref="O54" r:id="rId49" display="https://9fin.com/news/dd77905d-dc21-44a7-b0cc-8cacebd9e469" xr:uid="{00000000-0004-0000-0100-000030000000}"/>
    <hyperlink ref="M55" r:id="rId50" display="https://9fin.com/company/Qualtrics/overview" xr:uid="{00000000-0004-0000-0100-000031000000}"/>
    <hyperlink ref="O55" r:id="rId51" display="https://9fin.com/news/36976874-9352-4625-a046-a440eb39f79b" xr:uid="{00000000-0004-0000-0100-000032000000}"/>
    <hyperlink ref="M56" r:id="rId52" display="https://9fin.com/company/Charter Communications/overview" xr:uid="{00000000-0004-0000-0100-000033000000}"/>
    <hyperlink ref="O56" r:id="rId53" display="https://9fin.com/news/12e6e9da-5bc8-43c8-943f-96978ffcc089" xr:uid="{00000000-0004-0000-0100-000034000000}"/>
    <hyperlink ref="O60" r:id="rId54" display="https://www.privateequitywire.co.uk/new-mountain-capital-to-acquire-asset-living-in-deal-valued-at-over-2bn/" xr:uid="{00000000-0004-0000-0100-000035000000}"/>
    <hyperlink ref="O61" r:id="rId55" display="https://www.tsgconsumer.com/news/tsg-consumer-to-acquire-majority-stake-in-saltair" xr:uid="{00000000-0004-0000-0100-000036000000}"/>
    <hyperlink ref="O62" r:id="rId56" display="https://www.blackstone.com/news/press/blackstone-energy-transition-partners-announces-agreement-to-acquire-darkvision-from-koch-engineered-solutions/" xr:uid="{00000000-0004-0000-0100-000037000000}"/>
    <hyperlink ref="M63" r:id="rId57" display="https://9fin.com/company/Grant Thornton/overview" xr:uid="{00000000-0004-0000-0100-000038000000}"/>
    <hyperlink ref="O63" r:id="rId58" display="https://www.globenewswire.com/news-release/2026/07/29/3335168/0/en/Grant-Thornton-Advisors-to-Acquire-CBIZ-for-5-Billion-in-Transaction-Supported-by-New-Mountain-Capital.html" xr:uid="{00000000-0004-0000-0100-000039000000}"/>
    <hyperlink ref="M64" r:id="rId59" display="https://9fin.com/company/Copeland/overview" xr:uid="{00000000-0004-0000-0100-00003A000000}"/>
    <hyperlink ref="O64" r:id="rId60" display="https://www.businesswire.com/news/home/20260729958091/en/Copeland-Enters-into-Exclusive-Negotiations-to-Acquire-Dickson-Advancing-Cold-Chain-Leadership" xr:uid="{00000000-0004-0000-0100-00003B000000}"/>
    <hyperlink ref="M65" r:id="rId61" display="https://9fin.com/company/Central Garden %26 Pet/overview" xr:uid="{00000000-0004-0000-0100-00003C000000}"/>
    <hyperlink ref="O65" r:id="rId62" display="https://ir.central.com/news-events/press-releases/detail/485/central-garden-pet-to-acquire-a-majority-interest-in" xr:uid="{00000000-0004-0000-0100-00003D000000}"/>
    <hyperlink ref="M66" r:id="rId63" display="https://9fin.com/company/Aypa Power/overview" xr:uid="{00000000-0004-0000-0100-00003E000000}"/>
    <hyperlink ref="O66" r:id="rId64" display="https://bep.brookfield.com/press-releases/bep/brookfield-acquire-aypa-power-leading-north-american-battery-storage-platform" xr:uid="{00000000-0004-0000-0100-00003F000000}"/>
    <hyperlink ref="M67" r:id="rId65" display="https://9fin.com/company/Mavis Tire/overview" xr:uid="{00000000-0004-0000-0100-000040000000}"/>
    <hyperlink ref="O67" r:id="rId66" display="https://www.businesswire.com/news/home/20260720845773/en/Mavis-to-Acquire-Pep-Boys-from-Icahn-Enterprises-for-%24700-Million-in-Cash" xr:uid="{00000000-0004-0000-0100-000041000000}"/>
    <hyperlink ref="M68" r:id="rId67" display="https://9fin.com/company/Russell Investments/overview" xr:uid="{00000000-0004-0000-0100-000042000000}"/>
    <hyperlink ref="O68" r:id="rId68" display="https://www.bloomberg.com/news/articles/2026-07-09/b-capital-led-group-buys-russell-investments-for-2-8-billion" xr:uid="{00000000-0004-0000-0100-000043000000}"/>
    <hyperlink ref="M69" r:id="rId69" display="https://9fin.com/company/TransDigm Group/overview" xr:uid="{00000000-0004-0000-0100-000044000000}"/>
    <hyperlink ref="O69" r:id="rId70" display="https://www.prnewswire.com/news-releases/transdigm-announces-acquisition-of-prince--izant-302835126.html" xr:uid="{00000000-0004-0000-0100-000045000000}"/>
    <hyperlink ref="M70" r:id="rId71" display="https://9fin.com/company/Versant Media/overview" xr:uid="{00000000-0004-0000-0100-000046000000}"/>
    <hyperlink ref="O70" r:id="rId72" display="https://sec.9fin.com/Archives/edgar/data/2067876/000206787626000034/vsnt-20260706.htm" xr:uid="{00000000-0004-0000-0100-000047000000}"/>
    <hyperlink ref="M71" r:id="rId73" display="https://9fin.com/company/Avantus Aerospace/overview" xr:uid="{00000000-0004-0000-0100-000048000000}"/>
    <hyperlink ref="O71" r:id="rId74" display="https://www.prnewswire.com/news-releases/arcline-investment-management-to-acquire-avantus-302815142.html" xr:uid="{00000000-0004-0000-0100-000049000000}"/>
    <hyperlink ref="M72" r:id="rId75" display="https://9fin.com/company/Republic Finance/overview" xr:uid="{00000000-0004-0000-0100-00004A000000}"/>
    <hyperlink ref="O72" r:id="rId76" display="https://www.prnewswire.com/news-releases/republic-finance-agrees-to-be-acquired-by-a-jc-flowers-led-investor-group-302811940.html" xr:uid="{00000000-0004-0000-0100-00004B000000}"/>
    <hyperlink ref="M73" r:id="rId77" display="https://9fin.com/company/FirstCash/overview" xr:uid="{00000000-0004-0000-0100-00004C000000}"/>
    <hyperlink ref="O73" r:id="rId78" display="https://sec.9fin.com/Archives/edgar/data/840489/000110465926076623/tm2618455d1_ex99-1.htm" xr:uid="{00000000-0004-0000-0100-00004D000000}"/>
    <hyperlink ref="M74" r:id="rId79" display="https://9fin.com/company/BMC Helix/overview" xr:uid="{00000000-0004-0000-0100-00004E000000}"/>
    <hyperlink ref="O74" r:id="rId80" display="https://media.kkr.com/news-details?news_id=88c57512-bd4f-48ee-9386-bac5a7c95d94" xr:uid="{00000000-0004-0000-0100-00004F000000}"/>
    <hyperlink ref="O75" r:id="rId81" display="https://www.yum.com/wps/portal/yumbrands/Yumbrands/news/!ut/p/z1/jY9BC4JAFIR_SwevvqeiLt1ECFPJ9iDaXmINU8NcWTf9-0l1EUp6t3l8M8MAgxxYx8em4qoRHW9nfWLOmdDIDDDBA0l9G6lpRPt45xqYGpC9APxxHgL7x78CsPX4DNiyIiGJg9T3rSCkrkWOzgdYyQiBVa0o3nO9rrBIBUyW11KWUn_I-V0r1Q9bDTWcpkkvL2JouC5kpeE3Sy0GBfmShP6e5niz2zH2Nk-wKkOn/?urile=wcm:oid:e2997638-c9e7-4619-bb35-443fd57eeab9" xr:uid="{00000000-0004-0000-0100-000050000000}"/>
    <hyperlink ref="O76" r:id="rId82" display="https://www.businesswire.com/news/home/20260604882009/en/TPG-Led-Investor-Group-Acquires-Grocery-Anchored-Retail-Leader-ECHO-Realty" xr:uid="{00000000-0004-0000-0100-000051000000}"/>
    <hyperlink ref="M77" r:id="rId83" display="https://9fin.com/company/Trinity Consultants/overview" xr:uid="{00000000-0004-0000-0100-000052000000}"/>
    <hyperlink ref="O77" r:id="rId84" display="https://www.businesswire.com/news/home/20260805292442/en/Veritas-Capital-to-Acquire-Trinity-Consultants" xr:uid="{00000000-0004-0000-0100-000053000000}"/>
    <hyperlink ref="M78" r:id="rId85" display="https://9fin.com/company/International Flavors &amp; Fragrances/overview" xr:uid="{00000000-0004-0000-0100-000054000000}"/>
    <hyperlink ref="O78" r:id="rId86" display="https://www.cvc.com/media/news/2026/iff-enters-into-agreement-to-sell-its-food-ingredients-business-to-cvc/" xr:uid="{00000000-0004-0000-0100-000055000000}"/>
    <hyperlink ref="M79" r:id="rId87" display="https://9fin.com/company/Arclight GCX/overview" xr:uid="{00000000-0004-0000-0100-000056000000}"/>
    <hyperlink ref="O79" r:id="rId88" display="https://sec.9fin.com/Archives/edgar/data/1679688/000110465926066617/tm2615653d1_ex99-1.htm" xr:uid="{00000000-0004-0000-0100-000057000000}"/>
    <hyperlink ref="M80" r:id="rId89" display="https://9fin.com/company/Authentic Brands/overview" xr:uid="{00000000-0004-0000-0100-000058000000}"/>
    <hyperlink ref="O80" r:id="rId90" display="https://www.businesswire.com/news/home/20260521532973/en/Kontoor-Brands-Enters-Into-Definitive-Agreement-to-Sell-Lee-Business-to-Authentic-Brands-Group" xr:uid="{00000000-0004-0000-0100-000059000000}"/>
    <hyperlink ref="M81" r:id="rId91" display="https://9fin.com/company/Grant Thornton/overview" xr:uid="{00000000-0004-0000-0100-00005A000000}"/>
    <hyperlink ref="O81" r:id="rId92" display="https://www.grantthornton.com/insights/press-releases/2026/april/grant-thornton-australia-joins-grant-thornton-advisors" xr:uid="{00000000-0004-0000-0100-00005B000000}"/>
    <hyperlink ref="M82" r:id="rId93" display="https://9fin.com/company/GCI Liberty/overview" xr:uid="{00000000-0004-0000-0100-00005C000000}"/>
    <hyperlink ref="O82" r:id="rId94" display="https://sec.9fin.com/Archives/edgar/data/2057463/000110465926047805/tm2612513d1_8k.htm" xr:uid="{00000000-0004-0000-0100-00005D000000}"/>
    <hyperlink ref="O83" r:id="rId95" display="https://9fin.com/news/79555b10-2ef7-4ce4-8ef4-b1409a1de77b" xr:uid="{00000000-0004-0000-0100-00005E000000}"/>
    <hyperlink ref="M84" r:id="rId96" display="https://9fin.com/company/Peak Utility Services/overview" xr:uid="{00000000-0004-0000-0100-00005F000000}"/>
    <hyperlink ref="O84" r:id="rId97" display="https://www.prnewswire.com/news-releases/greenbelt-capital-partners-agrees-to-acquire-peak-utility-services-group-from-orix-capital-partners-302710406.html" xr:uid="{00000000-0004-0000-0100-000060000000}"/>
    <hyperlink ref="M85" r:id="rId98" display="https://9fin.com/company/Paradigm/overview" xr:uid="{00000000-0004-0000-0100-000061000000}"/>
    <hyperlink ref="O85" r:id="rId99" display="https://www.businesswire.com/news/home/20260212969115/en/Paradigm-Signs-Definitive-Agreement-to-Be-Acquired-by-Patient-Square-Capital" xr:uid="{00000000-0004-0000-0100-000062000000}"/>
    <hyperlink ref="M86" r:id="rId100" display="https://9fin.com/company/Sabre Industries/overview" xr:uid="{00000000-0004-0000-0100-000063000000}"/>
    <hyperlink ref="O86" r:id="rId101" display="https://9fin.com/news/527c9045-735f-4096-b00b-3e6522d10318" xr:uid="{00000000-0004-0000-0100-000064000000}"/>
    <hyperlink ref="O87" r:id="rId102" display="https://www.ionq.com/news/ionq-to-acquire-skywater-technology-creating-the-only-vertically-integrated-full-stack-quantum-platform-company" xr:uid="{00000000-0004-0000-0100-000065000000}"/>
    <hyperlink ref="M88" r:id="rId103" display="https://9fin.com/company/Cvent/overview" xr:uid="{00000000-0004-0000-0100-000066000000}"/>
    <hyperlink ref="O88" r:id="rId104" display="https://www.cvent.com/en/press-release/on24-enters-definitive-agreement-be-acquired-cvent" xr:uid="{00000000-0004-0000-0100-000067000000}"/>
    <hyperlink ref="M89" r:id="rId105" display="https://9fin.com/company/Novaria Group/overview" xr:uid="{00000000-0004-0000-0100-000068000000}"/>
    <hyperlink ref="O89" r:id="rId106" display="https://www.prnewswire.com/news-releases/arcline-investment-management-to-acquire-novaria-group-302610070.html" xr:uid="{00000000-0004-0000-0100-000069000000}"/>
    <hyperlink ref="M90" r:id="rId107" display="https://9fin.com/company/Aquarian/overview" xr:uid="{00000000-0004-0000-0100-00006A000000}"/>
    <hyperlink ref="O90" r:id="rId108" display="https://www.businesswire.com/news/home/20251106216739/en/Aquarian-Capital-to-Acquire-Brighthouse-Financial" xr:uid="{00000000-0004-0000-0100-00006B000000}"/>
    <hyperlink ref="M91" r:id="rId109" display="https://9fin.com/company/Park Place/overview" xr:uid="{00000000-0004-0000-0100-00006C000000}"/>
    <hyperlink ref="O91" r:id="rId110" display="https://www.prnewswire.com/news-releases/service-express-and-park-place-to-merge-with-a-shared-focus-on-growth-and-customer-service-302551708.html" xr:uid="{00000000-0004-0000-0100-00006D000000}"/>
    <hyperlink ref="M92" r:id="rId111" display="https://9fin.com/company/Pave America/overview" xr:uid="{00000000-0004-0000-0100-00006E000000}"/>
    <hyperlink ref="O92" r:id="rId112" display="https://www.prnewswire.com/news-releases/aea-investors-and-bci-acquire-pave-america-302550202.html" xr:uid="{00000000-0004-0000-0100-00006F000000}"/>
    <hyperlink ref="M93" r:id="rId113" display="https://9fin.com/company/Altera Infrastructure/overview" xr:uid="{00000000-0004-0000-0100-000070000000}"/>
    <hyperlink ref="O93" r:id="rId114" display="https://www.carlyle.com/media-room/news-release-archive/carlyle-acquire-altera-infrastructure-group%E2%80%99s-fpso-business" xr:uid="{00000000-0004-0000-0100-000071000000}"/>
    <hyperlink ref="M94" r:id="rId115" display="https://9fin.com/company/GIP Pilot/overview" xr:uid="{00000000-0004-0000-0100-000072000000}"/>
    <hyperlink ref="O94" r:id="rId116" display="https://www.businesswire.com/news/home/20250817506469/fr" xr:uid="{00000000-0004-0000-0100-000073000000}"/>
    <hyperlink ref="M95" r:id="rId117" display="https://9fin.com/company/BMO Transportation Finance/overview" xr:uid="{00000000-0004-0000-0100-000074000000}"/>
    <hyperlink ref="O95" r:id="rId118" display="https://newsroom.bmo.com/2026-05-11-BMO-Announces-Strategic-Sale-of-Transportation-and-Vendor-Finance-Businesses" xr:uid="{00000000-0004-0000-0100-000075000000}"/>
    <hyperlink ref="M96" r:id="rId119" display="https://9fin.com/company/Stream Data Centers/overview" xr:uid="{00000000-0004-0000-0100-000076000000}"/>
    <hyperlink ref="O96" r:id="rId120" display="https://www.bloomberg.com/news/articles/2025-08-06/apollo-global-to-buy-builder-of-large-scale-us-data-centers" xr:uid="{00000000-0004-0000-0100-000077000000}"/>
    <hyperlink ref="M97" r:id="rId121" display="https://9fin.com/company/Red Oak Power/overview" xr:uid="{00000000-0004-0000-0100-000078000000}"/>
    <hyperlink ref="O97" r:id="rId122" display="https://www.prnewswire.com/news-releases/strategic-value-partners-announces-acquisition-of-red-oak-power-302500233.html" xr:uid="{00000000-0004-0000-0100-000079000000}"/>
    <hyperlink ref="M101" r:id="rId123" display="https://9fin.com/company/Fullscript/overview" xr:uid="{00000000-0004-0000-0100-00007A000000}"/>
    <hyperlink ref="O101" r:id="rId124" display="https://9fin.com/news/4b0255b7-77a5-4e73-9571-af09fcfe8afa" xr:uid="{00000000-0004-0000-0100-00007B000000}"/>
    <hyperlink ref="O102" r:id="rId125" display="https://www.bloomberg.com/news/articles/2026-07-27/tpg-said-in-talks-to-buy-netrality-for-up-to-3-billion" xr:uid="{00000000-0004-0000-0100-00007C000000}"/>
    <hyperlink ref="O103" r:id="rId126" display="https://www.privateequitywire.co.uk/ares-weighs-acquisition-of-buyout-firm-leonard-green/" xr:uid="{00000000-0004-0000-0100-00007D000000}"/>
    <hyperlink ref="M104" r:id="rId127" display="https://9fin.com/company/Brown-Forman/overview" xr:uid="{00000000-0004-0000-0100-00007E000000}"/>
    <hyperlink ref="O104" r:id="rId128" display="https://www.bloomberg.com/news/articles/2026-07-26/brown-forman-says-it-rejected-sazerac-s-unsolicited-takeover-bid" xr:uid="{00000000-0004-0000-0100-00007F000000}"/>
    <hyperlink ref="M105" r:id="rId129" display="https://9fin.com/company/Berner Food %26 Beverage/overview" xr:uid="{00000000-0004-0000-0100-000080000000}"/>
    <hyperlink ref="O105" r:id="rId130" display="https://www.pehub.com/exclusive-peak-rock-to-test-buyout-market-for-private-label-food-company-berner-sources-say/" xr:uid="{00000000-0004-0000-0100-000081000000}"/>
    <hyperlink ref="M106" r:id="rId131" display="https://9fin.com/company/SAI MedPartners/overview" xr:uid="{00000000-0004-0000-0100-000082000000}"/>
    <hyperlink ref="O106" r:id="rId132" display="https://9fin.com/news/northlane-sale-of-sai-medpartners-enters-final-stages-9fin-2026-07-17" xr:uid="{00000000-0004-0000-0100-000083000000}"/>
    <hyperlink ref="M107" r:id="rId133" display="https://9fin.com/company/Baker Tilly/overview" xr:uid="{00000000-0004-0000-0100-000084000000}"/>
    <hyperlink ref="O107" r:id="rId134" display="https://www.bloomberg.com/news/articles/2026-07-17/baker-tilly-eyes-3-billion-in-debt-to-replace-private-credit" xr:uid="{00000000-0004-0000-0100-000085000000}"/>
    <hyperlink ref="M108" r:id="rId135" display="https://9fin.com/company/Command Alkon/overview" xr:uid="{00000000-0004-0000-0100-000086000000}"/>
    <hyperlink ref="O108" r:id="rId136" display="https://www.bloomberg.com/news/articles/2026-07-14/francisco-partners-nears-1-3-billion-deal-to-buy-command-alkon" xr:uid="{00000000-0004-0000-0100-000087000000}"/>
    <hyperlink ref="M109" r:id="rId137" display="https://9fin.com/company/Lionsgate/overview" xr:uid="{00000000-0004-0000-0100-000088000000}"/>
    <hyperlink ref="O109" r:id="rId138" display="https://www.bloomberg.com/news/articles/2026-07-14/lionsgate-studios-said-to-explore-sale-amid-m-a-wave-reuters" xr:uid="{00000000-0004-0000-0100-000089000000}"/>
    <hyperlink ref="O110" r:id="rId139" display="https://www.bloomberg.com/news/articles/2026-07-07/private-markets-data-firm-gain-seeks-500-million-valuation-sale" xr:uid="{00000000-0004-0000-0100-00008A000000}"/>
    <hyperlink ref="M111" r:id="rId140" display="https://9fin.com/company/Salsify/overview" xr:uid="{00000000-0004-0000-0100-00008B000000}"/>
    <hyperlink ref="O111" r:id="rId141" display="https://9fin.com/news/tpg-backed-salsify-explores-sale-9fin-2026-07-06" xr:uid="{00000000-0004-0000-0100-00008C000000}"/>
    <hyperlink ref="M112" r:id="rId142" display="https://9fin.com/company/GFL Environmental/overview" xr:uid="{00000000-0004-0000-0100-00008D000000}"/>
    <hyperlink ref="O112" r:id="rId143" display="https://www.bloomberg.com/news/articles/2026-07-03/gfl-environmental-weighs-take-private-amid-interest-from-buyout-firms" xr:uid="{00000000-0004-0000-0100-00008E000000}"/>
    <hyperlink ref="M113" r:id="rId144" display="https://9fin.com/company/Lyons Magnus/overview" xr:uid="{00000000-0004-0000-0100-00008F000000}"/>
    <hyperlink ref="O113" r:id="rId145" display="https://9fin.com/news/food-ingredients-producer-lyons-magnus-explores-sale-9fin-2026-07-01" xr:uid="{00000000-0004-0000-0100-000090000000}"/>
    <hyperlink ref="O114" r:id="rId146" display="https://www.bloomberg.com/news/articles/2026-06-29/jana-builds-bigger-stake-in-fintech-alkami-and-pushes-for-sale?cmpid=BBBXT063026_DEALS&amp;utm_campaign=deals&amp;utm_medium=email&amp;utm_source=newsletter&amp;utm_term=260630&amp;utm_content=6047" xr:uid="{00000000-0004-0000-0100-000091000000}"/>
    <hyperlink ref="O115" r:id="rId147" display="https://www.bloomberg.com/news/articles/2026-06-26/tpg-leonard-green-explore-sale-of-mcilroy-backed-troon-golf" xr:uid="{00000000-0004-0000-0100-000092000000}"/>
    <hyperlink ref="M116" r:id="rId148" display="https://9fin.com/company/Bumble Inc./overview" xr:uid="{00000000-0004-0000-0100-000093000000}"/>
    <hyperlink ref="O116" r:id="rId149" display="https://www.reuters.com/business/bumble-dating-app-explores-sale-sources-say-2026-06-25/" xr:uid="{00000000-0004-0000-0100-000094000000}"/>
    <hyperlink ref="M117" r:id="rId150" display="https://9fin.com/company/Edgewell Personal Care/overview" xr:uid="{00000000-0004-0000-0100-000095000000}"/>
    <hyperlink ref="O117" r:id="rId151" display="https://www.bloomberg.com/news/articles/2026-06-22/schick-razor-maker-is-said-to-reject-unsolicited-takeover-offer?cmpid=BBBXT062326_DEALS&amp;utm_campaign=deals&amp;utm_medium=email&amp;utm_source=newsletter&amp;utm_term=260623&amp;utm_content=5805" xr:uid="{00000000-0004-0000-0100-000096000000}"/>
    <hyperlink ref="M118" r:id="rId152" display="https://9fin.com/company/LaserAway/overview" xr:uid="{00000000-0004-0000-0100-000097000000}"/>
    <hyperlink ref="O118" r:id="rId153" display="https://www.reuters.com/legal/transactional/ares-backed-medical-spa-chain-laseraway-explores-sale-sources-say-2026-06-04/" xr:uid="{00000000-0004-0000-0100-000098000000}"/>
    <hyperlink ref="M119" r:id="rId154" display="https://9fin.com/company/LS Power/overview" xr:uid="{00000000-0004-0000-0100-000099000000}"/>
    <hyperlink ref="O119" r:id="rId155" display="https://www.bloomberg.com/news/articles/2026-06-04/ls-power-said-to-near-purchase-of-edf-s-american-renewables-arm" xr:uid="{00000000-0004-0000-0100-00009A000000}"/>
    <hyperlink ref="M120" r:id="rId156" display="https://9fin.com/company/Trinity Consultants/overview" xr:uid="{00000000-0004-0000-0100-00009B000000}"/>
    <hyperlink ref="O120" r:id="rId157" display="https://9fin.com/news/6d42036c-d0ce-439a-83bb-ffc0c717ecb5" xr:uid="{00000000-0004-0000-0100-00009C000000}"/>
    <hyperlink ref="M121" r:id="rId158" display="https://9fin.com/company/IAC/overview" xr:uid="{00000000-0004-0000-0100-00009D000000}"/>
    <hyperlink ref="O121" r:id="rId159" display="https://www.prnewswire.com/news-releases/people-incorporated-proposes-to-acquire-mgm-resorts-international-for-48-30-per-share-in-cash-302787093.html" xr:uid="{00000000-0004-0000-0100-00009E000000}"/>
    <hyperlink ref="M122" r:id="rId160" display="https://9fin.com/company/Lantheus/overview" xr:uid="{00000000-0004-0000-0100-00009F000000}"/>
    <hyperlink ref="O122" r:id="rId161" display="https://www.bloomberg.com/news/articles/2026-05-22/lantheus-is-said-to-weigh-sale-following-offer-from-curium?cmpid=BBBXT052626_DEALS&amp;utm_campaign=deals&amp;utm_medium=email&amp;utm_source=newsletter&amp;utm_term=260526&amp;utm_content=4777" xr:uid="{00000000-0004-0000-0100-0000A0000000}"/>
    <hyperlink ref="M123" r:id="rId162" display="https://9fin.com/company/Eyecare Partners/overview" xr:uid="{00000000-0004-0000-0100-0000A1000000}"/>
    <hyperlink ref="O123" r:id="rId163" display="https://9fin.com/news/6593b59d-a5ba-4d14-80d4-846ffc0ba1a5" xr:uid="{00000000-0004-0000-0100-0000A2000000}"/>
    <hyperlink ref="M124" r:id="rId164" display="https://9fin.com/company/Dream Finders Homes/overview" xr:uid="{00000000-0004-0000-0100-0000A3000000}"/>
    <hyperlink ref="O124" r:id="rId165" display="https://sec.9fin.com/Archives/edgar/data/1825088/000162828026033114/ex-991pressrelease.htm" xr:uid="{00000000-0004-0000-0100-0000A4000000}"/>
    <hyperlink ref="M125" r:id="rId166" display="https://9fin.com/company/Honeywell/overview" xr:uid="{00000000-0004-0000-0100-0000A5000000}"/>
    <hyperlink ref="O125" r:id="rId167" display="https://www.bloomberg.com/news/articles/2026-04-23/honeywell-is-said-to-near-sale-of-warehouse-services-unit-to-aip" xr:uid="{00000000-0004-0000-0100-0000A6000000}"/>
    <hyperlink ref="M126" r:id="rId168" display="https://9fin.com/company/Teleflex/overview" xr:uid="{00000000-0004-0000-0100-0000A7000000}"/>
    <hyperlink ref="O126" r:id="rId169" display="https://www.bloomberg.com/news/articles/2026-04-21/cvc-gtcr-weigh-take-private-of-medical-equipment-provider-teleflex" xr:uid="{00000000-0004-0000-0100-0000A8000000}"/>
    <hyperlink ref="M127" r:id="rId170" display="https://9fin.com/company/Sazerac Company/overview" xr:uid="{00000000-0004-0000-0100-0000A9000000}"/>
    <hyperlink ref="O127" r:id="rId171" display="https://www.reuters.com/legal/transactional/sazerac-offers-buy-jack-daniels-maker-brown-forman-about-15-billion-wsj-reports-2026-04-15/" xr:uid="{00000000-0004-0000-0100-0000AA000000}"/>
    <hyperlink ref="M128" r:id="rId172" display="https://9fin.com/company/SBA Communications/overview" xr:uid="{00000000-0004-0000-0100-0000AB000000}"/>
    <hyperlink ref="O128" r:id="rId173" display="https://www.bloomberg.com/news/articles/2026-04-02/tower-operator-sba-communications-is-exploring-a-potential-sale" xr:uid="{00000000-0004-0000-0100-0000AC000000}"/>
    <hyperlink ref="M129" r:id="rId174" display="https://9fin.com/company/JetBlue/overview" xr:uid="{00000000-0004-0000-0100-0000AD000000}"/>
    <hyperlink ref="O129" r:id="rId175" display="https://news.bloomberglaw.com/bankruptcy-law/jetblue-exploring-options-to-sell-itself-to-rival-semafor-says?utm_source=rss&amp;utm_medium=BKNW&amp;utm_campaign=0000019d-25dd-d4ab-afff-bdff7a7c0003" xr:uid="{00000000-0004-0000-0100-0000AE000000}"/>
    <hyperlink ref="M130" r:id="rId176" display="https://9fin.com/company/Exeter Finance/overview" xr:uid="{00000000-0004-0000-0100-0000AF000000}"/>
    <hyperlink ref="O130" r:id="rId177" display="https://www.bloomberg.com/news/articles/2026-03-16/warburg-said-to-eye-2-5-billion-plus-sale-of-auto-lender-exeter" xr:uid="{00000000-0004-0000-0100-0000B0000000}"/>
    <hyperlink ref="M131" r:id="rId178" display="https://9fin.com/company/M6 Midstream/overview" xr:uid="{00000000-0004-0000-0100-0000B1000000}"/>
    <hyperlink ref="O131" r:id="rId179" display="https://www.bloomberg.com/news/articles/2026-02-25/momentum-midstream-explores-sale-that-could-fetch-gas-pipeline-firm-5-billion" xr:uid="{00000000-0004-0000-0100-0000B2000000}"/>
    <hyperlink ref="M132" r:id="rId180" display="https://9fin.com/company/Dessert Holdings/overview" xr:uid="{00000000-0004-0000-0100-0000B3000000}"/>
    <hyperlink ref="O132" r:id="rId181" display="https://www.reuters.com/business/finance/bain-capital-explores-sale-or-ipo-dessert-holdings-sources-say-2026-02-19/" xr:uid="{00000000-0004-0000-0100-0000B4000000}"/>
    <hyperlink ref="M133" r:id="rId182" display="https://9fin.com/company/Kinetik/overview" xr:uid="{00000000-0004-0000-0100-0000B5000000}"/>
    <hyperlink ref="O133" r:id="rId183" display="https://www.ft.com/content/b3afb915-5daf-4085-a022-7261b5d706ff" xr:uid="{00000000-0004-0000-0100-0000B6000000}"/>
    <hyperlink ref="M134" r:id="rId184" display="https://9fin.com/company/Imprivata/overview" xr:uid="{00000000-0004-0000-0100-0000B7000000}"/>
    <hyperlink ref="O134" r:id="rId185" display="https://9fin.com/news/1cd0b054-3342-4335-9a3c-75b7e046ef08" xr:uid="{00000000-0004-0000-0100-0000B8000000}"/>
    <hyperlink ref="M135" r:id="rId186" display="https://9fin.com/company/BlueCat Networks/overview" xr:uid="{00000000-0004-0000-0100-0000B9000000}"/>
    <hyperlink ref="O135" r:id="rId187" display="https://9fin.com/news/83e2cd97-c0cc-4b27-999b-e0763fb48672" xr:uid="{00000000-0004-0000-0100-0000BA000000}"/>
    <hyperlink ref="M136" r:id="rId188" display="https://9fin.com/company/Cordis/overview" xr:uid="{00000000-0004-0000-0100-0000BB000000}"/>
    <hyperlink ref="O136" r:id="rId189" display="https://www.bloomberg.com/news/articles/2026-01-16/h-f-explores-9-billion-plus-sale-of-medical-device-maker-cordis" xr:uid="{00000000-0004-0000-0100-0000BC000000}"/>
    <hyperlink ref="M137" r:id="rId190" display="https://9fin.com/company/Atlas Air Worldwide/overview" xr:uid="{00000000-0004-0000-0100-0000BD000000}"/>
    <hyperlink ref="O137" r:id="rId191" display="https://www.bloomberg.com/news/articles/2025-12-16/apollo-weighs-potential-12-billion-sale-of-atlas-air" xr:uid="{00000000-0004-0000-0100-0000BE000000}"/>
    <hyperlink ref="M138" r:id="rId192" display="https://9fin.com/company/Dye &amp; Durham/overview" xr:uid="{00000000-0004-0000-0100-0000BF000000}"/>
    <hyperlink ref="O138" r:id="rId193" display="https://www.bloomberg.com/news/articles/2025-11-21/ex-dye-durham-ceo-s-firm-said-to-offer-111-premium-to-buy-the-company" xr:uid="{00000000-0004-0000-0100-0000C0000000}"/>
    <hyperlink ref="M139" r:id="rId194" display="https://9fin.com/company/Priority/overview" xr:uid="{00000000-0004-0000-0100-0000C1000000}"/>
    <hyperlink ref="O139" r:id="rId195" display="https://sec.9fin.com/Archives/edgar/data/1653558/000165355825000128/prth-20251110.htm" xr:uid="{00000000-0004-0000-0100-0000C2000000}"/>
    <hyperlink ref="M140" r:id="rId196" display="https://9fin.com/company/Terex/overview" xr:uid="{00000000-0004-0000-0100-0000C3000000}"/>
    <hyperlink ref="O140" r:id="rId197" display="https://sec.9fin.com/Archives/edgar/data/97216/000110465925104013/tm2529764d1_8k.htm" xr:uid="{00000000-0004-0000-0100-0000C4000000}"/>
    <hyperlink ref="M141" r:id="rId198" display="https://9fin.com/company/Ensemble Health Partners/overview" xr:uid="{00000000-0004-0000-0100-0000C5000000}"/>
    <hyperlink ref="O141" r:id="rId199" display="https://www.privateequitywire.co.uk/thoreau-group-nears-12bn-acquisition-of-ensemble-health-partners/" xr:uid="{00000000-0004-0000-0100-0000C6000000}"/>
    <hyperlink ref="M142" r:id="rId200" display="https://9fin.com/company/Viper Energy/overview" xr:uid="{00000000-0004-0000-0100-0000C7000000}"/>
    <hyperlink ref="O142" r:id="rId201" display="https://www.bloomberg.com/news/articles/2025-10-09/diamondback-unit-viper-is-said-to-weigh-a-sale-of-non-permian-oil-assets" xr:uid="{00000000-0004-0000-0100-0000C8000000}"/>
    <hyperlink ref="M143" r:id="rId202" display="https://9fin.com/company/Cambrex/overview" xr:uid="{00000000-0004-0000-0100-0000C9000000}"/>
    <hyperlink ref="O143" r:id="rId203" display="https://9fin.com/news/726def0f-d78a-4064-a3bc-3ce6a8f0bb5b" xr:uid="{00000000-0004-0000-0100-0000CA000000}"/>
    <hyperlink ref="M144" r:id="rId204" display="https://9fin.com/company/BeyondTrust/overview" xr:uid="{00000000-0004-0000-0100-0000CB000000}"/>
    <hyperlink ref="O144" r:id="rId205" display="https://www.bloomberg.com/news/articles/2025-08-13/beyondtrust-owner-is-said-to-explore-sale-of-cyber-firm?srnd=phx-deals" xr:uid="{00000000-0004-0000-0100-0000CC000000}"/>
    <hyperlink ref="M145" r:id="rId206" display="https://9fin.com/company/BlackHawk Network/overview" xr:uid="{00000000-0004-0000-0100-0000CD000000}"/>
    <hyperlink ref="O145" r:id="rId207" display="https://www.bloomberg.com/news/articles/2025-07-24/gtcr-is-in-talks-to-acquire-prepaid-card-company-blackhawk?srnd=phx-deals" xr:uid="{00000000-0004-0000-0100-0000CE000000}"/>
    <hyperlink ref="M146" r:id="rId208" display="https://9fin.com/company/Canada Goose/overview" xr:uid="{00000000-0004-0000-0100-0000CF000000}"/>
    <hyperlink ref="O146" r:id="rId209" display="https://www.forbes.com/sites/markfaithfull/2025/08/27/bain-capital-waits-on-more-bidders-in-14-billion-canada-goose-sale/" xr:uid="{00000000-0004-0000-0100-0000D0000000}"/>
    <hyperlink ref="J75" r:id="rId210" xr:uid="{10305802-8F7E-42B8-8EDE-CB5DF899767B}"/>
  </hyperlinks>
  <printOptions horizontalCentered="1" gridLines="1"/>
  <pageMargins left="0" right="0" top="0.1" bottom="0.1" header="0" footer="0"/>
  <pageSetup paperSize="3" pageOrder="overThenDown" orientation="portrait" cellComments="atEnd"/>
  <drawing r:id="rId2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Zilong Xiao</dc:creator>
  <cp:lastModifiedBy>Zilong Xiao</cp:lastModifiedBy>
  <dcterms:created xsi:type="dcterms:W3CDTF">2026-08-05T17:22:39Z</dcterms:created>
  <dcterms:modified xsi:type="dcterms:W3CDTF">2026-08-05T17:22:39Z</dcterms:modified>
</cp:coreProperties>
</file>